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filterPrivacy="1" defaultThemeVersion="124226"/>
  <xr:revisionPtr revIDLastSave="0" documentId="13_ncr:1_{7F71DC73-0A8B-4767-937D-D4C859D0408C}" xr6:coauthVersionLast="36" xr6:coauthVersionMax="47" xr10:uidLastSave="{00000000-0000-0000-0000-000000000000}"/>
  <bookViews>
    <workbookView xWindow="-120" yWindow="-120" windowWidth="20730" windowHeight="11160" tabRatio="831" xr2:uid="{00000000-000D-0000-FFFF-FFFF00000000}"/>
  </bookViews>
  <sheets>
    <sheet name="评估结果汇总表" sheetId="56" r:id="rId1"/>
    <sheet name="评估结果" sheetId="61" state="hidden" r:id="rId2"/>
    <sheet name="评估结果-PB" sheetId="17" r:id="rId3"/>
    <sheet name="1-交易案例比较法" sheetId="1" state="hidden" r:id="rId4"/>
    <sheet name="交易案例比较法测算表" sheetId="35" state="hidden" r:id="rId5"/>
    <sheet name="估算表" sheetId="37" state="hidden" r:id="rId6"/>
    <sheet name="指标参数全表" sheetId="36" state="hidden" r:id="rId7"/>
    <sheet name="评估结果-EV" sheetId="59" state="hidden" r:id="rId8"/>
    <sheet name="2-交易案例比较法" sheetId="2" r:id="rId9"/>
    <sheet name="非经营性资产" sheetId="52" state="hidden" r:id="rId10"/>
    <sheet name="评价指标及计分表" sheetId="62" state="hidden" r:id="rId11"/>
    <sheet name="桂林银行" sheetId="67" state="hidden" r:id="rId12"/>
    <sheet name="标的公司IS" sheetId="30" state="hidden" r:id="rId13"/>
    <sheet name="母公司资产负债表" sheetId="6" state="hidden" r:id="rId14"/>
    <sheet name="母公司利润表" sheetId="8" state="hidden" r:id="rId15"/>
    <sheet name="东航BS" sheetId="21" state="hidden" r:id="rId16"/>
    <sheet name="东航IS" sheetId="22" state="hidden" r:id="rId17"/>
    <sheet name="中航BS" sheetId="25" state="hidden" r:id="rId18"/>
    <sheet name="中航IS" sheetId="26" state="hidden" r:id="rId19"/>
    <sheet name="山石网科BS" sheetId="23" state="hidden" r:id="rId20"/>
    <sheet name="山石网科IS" sheetId="24" state="hidden" r:id="rId21"/>
    <sheet name="绿盟科技BS" sheetId="33" state="hidden" r:id="rId22"/>
    <sheet name="绿盟科技IS" sheetId="34" state="hidden" r:id="rId23"/>
    <sheet name="启明星辰BS" sheetId="31" state="hidden" r:id="rId24"/>
    <sheet name="流动性折扣" sheetId="3" state="hidden" r:id="rId25"/>
    <sheet name="利润表、资产负债表、现金流量表-备用表" sheetId="54" state="hidden" r:id="rId26"/>
    <sheet name="可比案例总市值" sheetId="45" state="hidden" r:id="rId27"/>
    <sheet name="企业规模指标" sheetId="55" state="hidden" r:id="rId28"/>
  </sheets>
  <externalReferences>
    <externalReference r:id="rId29"/>
    <externalReference r:id="rId30"/>
  </externalReferences>
  <definedNames>
    <definedName name="_xlnm._FilterDatabase" localSheetId="26" hidden="1">可比案例总市值!$A$2:$AX$2</definedName>
    <definedName name="_xlnm._FilterDatabase" localSheetId="27" hidden="1">企业规模指标!$A$1:$N$43</definedName>
    <definedName name="br">[1]项目!$F$17</definedName>
    <definedName name="_xlnm.Print_Area" localSheetId="8">'2-交易案例比较法'!$A$1:$Q$39</definedName>
    <definedName name="_xlnm.Print_Area" localSheetId="12">标的公司IS!$A$1:$O$47</definedName>
    <definedName name="_xlnm.Print_Area" localSheetId="11">桂林银行!$A$1:$P$110</definedName>
    <definedName name="_xlnm.Print_Area" localSheetId="25">'利润表、资产负债表、现金流量表-备用表'!$A$1:$AB$226</definedName>
    <definedName name="_xlnm.Print_Area" localSheetId="2">'评估结果-PB'!$A$1:$E$20</definedName>
    <definedName name="_xlnm.Print_Area" localSheetId="0">评估结果汇总表!$A$1:$G$19</definedName>
    <definedName name="_xlnm.Print_Area" localSheetId="10">评价指标及计分表!$A$1:$F$14</definedName>
  </definedNames>
  <calcPr calcId="191029"/>
</workbook>
</file>

<file path=xl/calcChain.xml><?xml version="1.0" encoding="utf-8"?>
<calcChain xmlns="http://schemas.openxmlformats.org/spreadsheetml/2006/main">
  <c r="P35" i="67" l="1"/>
  <c r="G63" i="67"/>
  <c r="F63" i="67"/>
  <c r="E63" i="67"/>
  <c r="D63" i="67"/>
  <c r="G62" i="67"/>
  <c r="F62" i="67"/>
  <c r="E62" i="67"/>
  <c r="D62" i="67"/>
  <c r="G60" i="67"/>
  <c r="P44" i="67" l="1"/>
  <c r="P43" i="67"/>
  <c r="P42" i="67"/>
  <c r="P41" i="67"/>
  <c r="F60" i="67" l="1"/>
  <c r="E60" i="67"/>
  <c r="D60" i="67"/>
  <c r="C60" i="67"/>
  <c r="G50" i="67"/>
  <c r="F50" i="67"/>
  <c r="E50" i="67"/>
  <c r="D50" i="67"/>
  <c r="C50" i="67"/>
  <c r="C63" i="67" s="1"/>
  <c r="P40" i="67"/>
  <c r="P39" i="67"/>
  <c r="O34" i="67"/>
  <c r="L34" i="67"/>
  <c r="G32" i="67"/>
  <c r="F32" i="67"/>
  <c r="E32" i="67"/>
  <c r="D32" i="67"/>
  <c r="C32" i="67"/>
  <c r="O19" i="67"/>
  <c r="N19" i="67"/>
  <c r="M19" i="67"/>
  <c r="L19" i="67"/>
  <c r="K19" i="67"/>
  <c r="O9" i="67"/>
  <c r="N9" i="67"/>
  <c r="M9" i="67"/>
  <c r="L9" i="67"/>
  <c r="K9" i="67"/>
  <c r="O6" i="67"/>
  <c r="N6" i="67"/>
  <c r="M6" i="67"/>
  <c r="L6" i="67"/>
  <c r="K6" i="67"/>
  <c r="K5" i="67" s="1"/>
  <c r="K25" i="67" s="1"/>
  <c r="K28" i="67" s="1"/>
  <c r="K30" i="67" s="1"/>
  <c r="O4" i="67"/>
  <c r="N4" i="67"/>
  <c r="N34" i="67" s="1"/>
  <c r="M4" i="67"/>
  <c r="M34" i="67" s="1"/>
  <c r="L4" i="67"/>
  <c r="K4" i="67"/>
  <c r="K34" i="67" s="1"/>
  <c r="J3" i="67"/>
  <c r="B2" i="67"/>
  <c r="L2" i="67" s="1"/>
  <c r="E65" i="67" l="1"/>
  <c r="N5" i="67"/>
  <c r="M5" i="67"/>
  <c r="O5" i="67"/>
  <c r="L5" i="67"/>
  <c r="L25" i="67" s="1"/>
  <c r="L28" i="67" s="1"/>
  <c r="L30" i="67" s="1"/>
  <c r="P36" i="67"/>
  <c r="C65" i="67"/>
  <c r="D65" i="67"/>
  <c r="F65" i="67"/>
  <c r="N25" i="67" l="1"/>
  <c r="N28" i="67" s="1"/>
  <c r="N37" i="67"/>
  <c r="O25" i="67"/>
  <c r="O28" i="67" s="1"/>
  <c r="O37" i="67"/>
  <c r="M25" i="67"/>
  <c r="M28" i="67" s="1"/>
  <c r="M30" i="67" s="1"/>
  <c r="M37" i="67"/>
  <c r="P37" i="67" s="1"/>
  <c r="G65" i="67"/>
  <c r="M38" i="67"/>
  <c r="O38" i="67" l="1"/>
  <c r="O30" i="67"/>
  <c r="N30" i="67"/>
  <c r="N38" i="67"/>
  <c r="P38" i="67" s="1"/>
  <c r="D31" i="62" l="1"/>
  <c r="D30" i="62"/>
  <c r="D29" i="62"/>
  <c r="D28" i="62"/>
  <c r="D27" i="62"/>
  <c r="C28" i="62"/>
  <c r="C27" i="62"/>
  <c r="B27" i="62"/>
  <c r="D26" i="62"/>
  <c r="C26" i="62"/>
  <c r="D25" i="62"/>
  <c r="C25" i="62"/>
  <c r="B25" i="62"/>
  <c r="D24" i="62"/>
  <c r="C24" i="62"/>
  <c r="B24" i="62"/>
  <c r="D23" i="62"/>
  <c r="C23" i="62"/>
  <c r="D22" i="62"/>
  <c r="C22" i="62"/>
  <c r="D21" i="62"/>
  <c r="C21" i="62"/>
  <c r="B21" i="62"/>
  <c r="M44" i="55"/>
  <c r="C1" i="30"/>
  <c r="J1" i="30" s="1"/>
  <c r="D1" i="30"/>
  <c r="K1" i="30" s="1"/>
  <c r="E1" i="30"/>
  <c r="L1" i="30" s="1"/>
  <c r="F1" i="30"/>
  <c r="M1" i="30" s="1"/>
  <c r="K6" i="30"/>
  <c r="O6" i="30" s="1"/>
  <c r="L6" i="30"/>
  <c r="M6" i="30"/>
  <c r="C26" i="30"/>
  <c r="C32" i="30" s="1"/>
  <c r="C36" i="30" s="1"/>
  <c r="D26" i="30"/>
  <c r="D32" i="30" s="1"/>
  <c r="E26" i="30"/>
  <c r="L2" i="30" s="1"/>
  <c r="F26" i="30"/>
  <c r="F32" i="30" s="1"/>
  <c r="F36" i="30" s="1"/>
  <c r="E32" i="30"/>
  <c r="E36" i="30" s="1"/>
  <c r="M8" i="30" l="1"/>
  <c r="O8" i="30" s="1"/>
  <c r="M3" i="30"/>
  <c r="H44" i="55"/>
  <c r="D32" i="62"/>
  <c r="D36" i="30"/>
  <c r="K3" i="30"/>
  <c r="K2" i="30"/>
  <c r="L3" i="30"/>
  <c r="M2" i="30"/>
  <c r="O2" i="30" s="1"/>
  <c r="F50" i="30"/>
  <c r="O3" i="30" l="1"/>
  <c r="B26" i="59" l="1"/>
  <c r="C17" i="59"/>
  <c r="C15" i="59"/>
  <c r="C14" i="59"/>
  <c r="C16" i="59" s="1"/>
  <c r="E12" i="59"/>
  <c r="C23" i="59" l="1"/>
  <c r="C19" i="59"/>
  <c r="C18" i="59"/>
  <c r="D20" i="59"/>
  <c r="C5" i="59" l="1"/>
  <c r="BL340" i="54"/>
  <c r="BH340" i="54" l="1"/>
  <c r="AX340" i="54" l="1"/>
  <c r="AT340" i="54" l="1"/>
  <c r="AK340" i="54" l="1"/>
  <c r="AG340" i="54" l="1"/>
  <c r="W340" i="54" l="1"/>
  <c r="S340" i="54" l="1"/>
  <c r="J340" i="54" l="1"/>
  <c r="G340" i="54" l="1"/>
  <c r="AK339" i="54" l="1"/>
  <c r="AG339" i="54" l="1"/>
  <c r="W339" i="54" l="1"/>
  <c r="S339" i="54"/>
  <c r="J339" i="54" l="1"/>
  <c r="G339" i="54" l="1"/>
  <c r="BL339" i="54" l="1"/>
  <c r="BH339" i="54" l="1"/>
  <c r="AX339" i="54" l="1"/>
  <c r="C346" i="54" l="1"/>
  <c r="D346" i="54"/>
  <c r="E346" i="54"/>
  <c r="F346" i="54"/>
  <c r="G346" i="54"/>
  <c r="G344" i="54"/>
  <c r="J346" i="54" s="1"/>
  <c r="J344" i="54"/>
  <c r="O346" i="54"/>
  <c r="P346" i="54"/>
  <c r="Q346" i="54"/>
  <c r="R346" i="54"/>
  <c r="S346" i="54"/>
  <c r="S344" i="54"/>
  <c r="W346" i="54" s="1"/>
  <c r="W344" i="54"/>
  <c r="AB346" i="54"/>
  <c r="AC346" i="54"/>
  <c r="AD346" i="54"/>
  <c r="AE346" i="54"/>
  <c r="AG346" i="54"/>
  <c r="AG344" i="54"/>
  <c r="AK346" i="54" s="1"/>
  <c r="AK344" i="54"/>
  <c r="AP346" i="54"/>
  <c r="AQ346" i="54"/>
  <c r="AR346" i="54"/>
  <c r="AS346" i="54"/>
  <c r="AT344" i="54"/>
  <c r="AX346" i="54" s="1"/>
  <c r="AT346" i="54"/>
  <c r="AX344" i="54"/>
  <c r="BC346" i="54"/>
  <c r="BD346" i="54"/>
  <c r="BE346" i="54"/>
  <c r="BF346" i="54"/>
  <c r="BH346" i="54"/>
  <c r="BH344" i="54"/>
  <c r="BL346" i="54" s="1"/>
  <c r="BL344" i="54"/>
  <c r="G342" i="54"/>
  <c r="J342" i="54"/>
  <c r="S342" i="54"/>
  <c r="W342" i="54"/>
  <c r="AG342" i="54"/>
  <c r="AK342" i="54"/>
  <c r="BH342" i="54"/>
  <c r="BL342" i="54"/>
  <c r="AT339" i="54"/>
  <c r="AT342" i="54" s="1"/>
  <c r="AX342" i="54"/>
  <c r="C4" i="59" l="1"/>
  <c r="C3" i="59" l="1"/>
  <c r="F41" i="3" l="1"/>
  <c r="E41" i="3"/>
  <c r="D41" i="3"/>
  <c r="C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B27" i="59" l="1"/>
  <c r="G41" i="3"/>
  <c r="B25" i="59" l="1"/>
  <c r="A37" i="59" l="1"/>
  <c r="G5" i="36"/>
  <c r="G4" i="36"/>
  <c r="G3" i="36"/>
  <c r="G2" i="36"/>
  <c r="C5" i="36"/>
  <c r="C23" i="36" s="1"/>
  <c r="C4" i="36"/>
  <c r="J22" i="36" s="1"/>
  <c r="C3" i="36"/>
  <c r="C13" i="36" s="1"/>
  <c r="C2" i="36"/>
  <c r="C20" i="36" s="1"/>
  <c r="D8" i="52"/>
  <c r="D16" i="52"/>
  <c r="D26" i="52"/>
  <c r="I24" i="36"/>
  <c r="I25" i="36"/>
  <c r="H25" i="36"/>
  <c r="K25" i="36" s="1"/>
  <c r="C24" i="36"/>
  <c r="C26" i="36" s="1"/>
  <c r="J24" i="36"/>
  <c r="H24" i="36"/>
  <c r="K24" i="36" s="1"/>
  <c r="G24" i="36"/>
  <c r="F24" i="36"/>
  <c r="E24" i="36"/>
  <c r="E26" i="36" s="1"/>
  <c r="D24" i="36"/>
  <c r="D26" i="36" s="1"/>
  <c r="F25" i="26"/>
  <c r="F31" i="26" s="1"/>
  <c r="F36" i="26" s="1"/>
  <c r="E25" i="26"/>
  <c r="E31" i="26" s="1"/>
  <c r="D25" i="26"/>
  <c r="C25" i="26"/>
  <c r="C31" i="26" s="1"/>
  <c r="C36" i="26" s="1"/>
  <c r="B25" i="26"/>
  <c r="B31" i="26" s="1"/>
  <c r="B36" i="26" s="1"/>
  <c r="L6" i="26"/>
  <c r="K6" i="26"/>
  <c r="J6" i="26"/>
  <c r="H4" i="26"/>
  <c r="M1" i="26"/>
  <c r="L1" i="26"/>
  <c r="K1" i="26"/>
  <c r="J1" i="26"/>
  <c r="G1" i="26"/>
  <c r="G104" i="25"/>
  <c r="G106" i="25" s="1"/>
  <c r="F104" i="25"/>
  <c r="F106" i="25" s="1"/>
  <c r="E104" i="25"/>
  <c r="E106" i="25" s="1"/>
  <c r="D104" i="25"/>
  <c r="D106" i="25" s="1"/>
  <c r="C104" i="25"/>
  <c r="C106" i="25" s="1"/>
  <c r="B104" i="25"/>
  <c r="B106" i="25" s="1"/>
  <c r="G85" i="25"/>
  <c r="F85" i="25"/>
  <c r="E85" i="25"/>
  <c r="D85" i="25"/>
  <c r="C85" i="25"/>
  <c r="B85" i="25"/>
  <c r="G72" i="25"/>
  <c r="F72" i="25"/>
  <c r="E72" i="25"/>
  <c r="D72" i="25"/>
  <c r="C72" i="25"/>
  <c r="B72" i="25"/>
  <c r="F46" i="25"/>
  <c r="E46" i="25"/>
  <c r="D46" i="25"/>
  <c r="C46" i="25"/>
  <c r="B46" i="25"/>
  <c r="G42" i="25"/>
  <c r="G30" i="25"/>
  <c r="F24" i="25"/>
  <c r="E24" i="25"/>
  <c r="D24" i="25"/>
  <c r="C24" i="25"/>
  <c r="B24" i="25"/>
  <c r="G20" i="25"/>
  <c r="K11" i="25"/>
  <c r="M8" i="25"/>
  <c r="L8" i="25"/>
  <c r="K8" i="25"/>
  <c r="G6" i="25"/>
  <c r="F1" i="25"/>
  <c r="N1" i="25" s="1"/>
  <c r="E1" i="25"/>
  <c r="M1" i="25" s="1"/>
  <c r="D1" i="25"/>
  <c r="L1" i="25" s="1"/>
  <c r="C1" i="25"/>
  <c r="K1" i="25" s="1"/>
  <c r="F25" i="22"/>
  <c r="F31" i="22" s="1"/>
  <c r="F36" i="22" s="1"/>
  <c r="E25" i="22"/>
  <c r="E31" i="22" s="1"/>
  <c r="D25" i="22"/>
  <c r="D31" i="22" s="1"/>
  <c r="C25" i="22"/>
  <c r="C31" i="22" s="1"/>
  <c r="C36" i="22" s="1"/>
  <c r="B25" i="22"/>
  <c r="B31" i="22" s="1"/>
  <c r="B36" i="22" s="1"/>
  <c r="L6" i="22"/>
  <c r="K6" i="22"/>
  <c r="J6" i="22"/>
  <c r="H4" i="22"/>
  <c r="M1" i="22"/>
  <c r="L1" i="22"/>
  <c r="K1" i="22"/>
  <c r="J1" i="22"/>
  <c r="G1" i="22"/>
  <c r="G104" i="21"/>
  <c r="G106" i="21" s="1"/>
  <c r="F104" i="21"/>
  <c r="F106" i="21" s="1"/>
  <c r="E104" i="21"/>
  <c r="E106" i="21" s="1"/>
  <c r="D104" i="21"/>
  <c r="D106" i="21" s="1"/>
  <c r="C104" i="21"/>
  <c r="C106" i="21" s="1"/>
  <c r="B104" i="21"/>
  <c r="B106" i="21" s="1"/>
  <c r="G85" i="21"/>
  <c r="F85" i="21"/>
  <c r="E85" i="21"/>
  <c r="D85" i="21"/>
  <c r="C85" i="21"/>
  <c r="B85" i="21"/>
  <c r="G72" i="21"/>
  <c r="F72" i="21"/>
  <c r="E72" i="21"/>
  <c r="D72" i="21"/>
  <c r="C72" i="21"/>
  <c r="B72" i="21"/>
  <c r="F46" i="21"/>
  <c r="E46" i="21"/>
  <c r="D46" i="21"/>
  <c r="C46" i="21"/>
  <c r="B46" i="21"/>
  <c r="G42" i="21"/>
  <c r="G30" i="21"/>
  <c r="F24" i="21"/>
  <c r="E24" i="21"/>
  <c r="D24" i="21"/>
  <c r="C24" i="21"/>
  <c r="B24" i="21"/>
  <c r="G20" i="21"/>
  <c r="K11" i="21"/>
  <c r="M8" i="21"/>
  <c r="L8" i="21"/>
  <c r="K8" i="21"/>
  <c r="G6" i="21"/>
  <c r="F1" i="21"/>
  <c r="N1" i="21" s="1"/>
  <c r="E1" i="21"/>
  <c r="M1" i="21" s="1"/>
  <c r="D1" i="21"/>
  <c r="L1" i="21" s="1"/>
  <c r="C1" i="21"/>
  <c r="K1" i="21" s="1"/>
  <c r="H4" i="34"/>
  <c r="H4" i="24"/>
  <c r="G1" i="24"/>
  <c r="G1" i="34" s="1"/>
  <c r="G81" i="31"/>
  <c r="G80" i="31"/>
  <c r="G72" i="31"/>
  <c r="G43" i="31"/>
  <c r="G42" i="31"/>
  <c r="G33" i="31"/>
  <c r="G31" i="31"/>
  <c r="G30" i="31"/>
  <c r="G27" i="31"/>
  <c r="G20" i="31"/>
  <c r="G6" i="31"/>
  <c r="G112" i="33"/>
  <c r="G81" i="33"/>
  <c r="G80" i="33"/>
  <c r="G62" i="33"/>
  <c r="G72" i="33" s="1"/>
  <c r="G42" i="33"/>
  <c r="G32" i="33"/>
  <c r="G30" i="33"/>
  <c r="G27" i="33"/>
  <c r="G20" i="33"/>
  <c r="G12" i="33"/>
  <c r="G6" i="33"/>
  <c r="E25" i="36"/>
  <c r="D25" i="36"/>
  <c r="C25" i="36"/>
  <c r="G104" i="23"/>
  <c r="G106" i="23" s="1"/>
  <c r="G85" i="23"/>
  <c r="G72" i="23"/>
  <c r="G42" i="23"/>
  <c r="G30" i="23"/>
  <c r="G20" i="23"/>
  <c r="G6" i="23"/>
  <c r="K14" i="31"/>
  <c r="K8" i="31"/>
  <c r="F104" i="31"/>
  <c r="F106" i="31" s="1"/>
  <c r="E104" i="31"/>
  <c r="E106" i="31" s="1"/>
  <c r="B104" i="31"/>
  <c r="B106" i="31" s="1"/>
  <c r="C104" i="31"/>
  <c r="C106" i="31" s="1"/>
  <c r="D104" i="31"/>
  <c r="D106" i="31" s="1"/>
  <c r="B85" i="31"/>
  <c r="B72" i="31"/>
  <c r="B46" i="31"/>
  <c r="B24" i="31"/>
  <c r="F3" i="31"/>
  <c r="E3" i="31"/>
  <c r="D3" i="31"/>
  <c r="C3" i="31"/>
  <c r="B3" i="31"/>
  <c r="F2" i="31"/>
  <c r="E2" i="31"/>
  <c r="D2" i="31"/>
  <c r="C2" i="31"/>
  <c r="B2" i="31"/>
  <c r="J6" i="34"/>
  <c r="K8" i="33"/>
  <c r="B25" i="34"/>
  <c r="B31" i="34" s="1"/>
  <c r="B36" i="34" s="1"/>
  <c r="B1" i="34"/>
  <c r="C1" i="34"/>
  <c r="J1" i="34" s="1"/>
  <c r="D1" i="34"/>
  <c r="K1" i="34" s="1"/>
  <c r="E1" i="34"/>
  <c r="L1" i="34" s="1"/>
  <c r="B104" i="33"/>
  <c r="B106" i="33" s="1"/>
  <c r="B85" i="33"/>
  <c r="B72" i="33"/>
  <c r="B46" i="33"/>
  <c r="B24" i="33"/>
  <c r="B1" i="33"/>
  <c r="B1" i="31" s="1"/>
  <c r="K11" i="23"/>
  <c r="K8" i="23"/>
  <c r="J6" i="24"/>
  <c r="K14" i="23" s="1"/>
  <c r="B25" i="24"/>
  <c r="B31" i="24" s="1"/>
  <c r="B36" i="24" s="1"/>
  <c r="B104" i="23"/>
  <c r="B106" i="23" s="1"/>
  <c r="C104" i="23"/>
  <c r="C106" i="23" s="1"/>
  <c r="D104" i="23"/>
  <c r="D106" i="23" s="1"/>
  <c r="E104" i="23"/>
  <c r="E106" i="23" s="1"/>
  <c r="F104" i="23"/>
  <c r="F106" i="23" s="1"/>
  <c r="B85" i="23"/>
  <c r="B72" i="23"/>
  <c r="B46" i="23"/>
  <c r="C46" i="23"/>
  <c r="D46" i="23"/>
  <c r="E46" i="23"/>
  <c r="F46" i="23"/>
  <c r="B24" i="23"/>
  <c r="F1" i="23"/>
  <c r="F1" i="33" s="1"/>
  <c r="E1" i="23"/>
  <c r="E1" i="33" s="1"/>
  <c r="D1" i="23"/>
  <c r="D1" i="33" s="1"/>
  <c r="D1" i="31" s="1"/>
  <c r="L1" i="31" s="1"/>
  <c r="C1" i="23"/>
  <c r="C1" i="33" s="1"/>
  <c r="E25" i="24"/>
  <c r="F25" i="24"/>
  <c r="F31" i="24" s="1"/>
  <c r="F36" i="24" s="1"/>
  <c r="N8" i="36"/>
  <c r="I16" i="36"/>
  <c r="J19" i="36"/>
  <c r="I17" i="36"/>
  <c r="I19" i="36"/>
  <c r="G13" i="37"/>
  <c r="H13" i="37" s="1"/>
  <c r="I13" i="37" s="1"/>
  <c r="M8" i="31"/>
  <c r="L8" i="31"/>
  <c r="M14" i="31"/>
  <c r="L4" i="31"/>
  <c r="K16" i="31"/>
  <c r="K6" i="34"/>
  <c r="L14" i="33" s="1"/>
  <c r="L6" i="34"/>
  <c r="M14" i="33" s="1"/>
  <c r="L6" i="24"/>
  <c r="M14" i="21" s="1"/>
  <c r="K6" i="24"/>
  <c r="L14" i="25" s="1"/>
  <c r="C25" i="34"/>
  <c r="C31" i="34" s="1"/>
  <c r="F25" i="34"/>
  <c r="F31" i="34" s="1"/>
  <c r="F36" i="34" s="1"/>
  <c r="E25" i="34"/>
  <c r="L2" i="34" s="1"/>
  <c r="M4" i="33" s="1"/>
  <c r="M8" i="33"/>
  <c r="L8" i="33"/>
  <c r="D25" i="34"/>
  <c r="L8" i="23"/>
  <c r="M8" i="23"/>
  <c r="D25" i="24"/>
  <c r="K2" i="24" s="1"/>
  <c r="C25" i="24"/>
  <c r="J2" i="24" s="1"/>
  <c r="K4" i="25" s="1"/>
  <c r="E16" i="36"/>
  <c r="E18" i="36" s="1"/>
  <c r="H19" i="36"/>
  <c r="E17" i="36"/>
  <c r="D16" i="36"/>
  <c r="C17" i="36"/>
  <c r="C16" i="36"/>
  <c r="H17" i="36"/>
  <c r="L2" i="35"/>
  <c r="O2" i="35" s="1"/>
  <c r="M2" i="35"/>
  <c r="M23" i="35"/>
  <c r="J8" i="35"/>
  <c r="I8" i="35"/>
  <c r="H8" i="35"/>
  <c r="G8" i="35"/>
  <c r="F8" i="35"/>
  <c r="E8" i="35"/>
  <c r="H9" i="1"/>
  <c r="I9" i="1" s="1"/>
  <c r="K42" i="35"/>
  <c r="L42" i="35" s="1"/>
  <c r="C41" i="35"/>
  <c r="K7" i="35"/>
  <c r="J7" i="35"/>
  <c r="I7" i="35"/>
  <c r="H7" i="35"/>
  <c r="G7" i="35"/>
  <c r="F7" i="35"/>
  <c r="E7" i="35"/>
  <c r="M37" i="35"/>
  <c r="L37" i="35"/>
  <c r="J33" i="35"/>
  <c r="J6" i="35" s="1"/>
  <c r="J32" i="35"/>
  <c r="I33" i="35"/>
  <c r="I68" i="35" s="1"/>
  <c r="I69" i="35" s="1"/>
  <c r="I79" i="35" s="1"/>
  <c r="I32" i="35"/>
  <c r="H33" i="35"/>
  <c r="M33" i="35" s="1"/>
  <c r="H32" i="35"/>
  <c r="K6" i="35"/>
  <c r="G38" i="1" s="1"/>
  <c r="F33" i="35"/>
  <c r="F6" i="35" s="1"/>
  <c r="F32" i="35"/>
  <c r="E33" i="35"/>
  <c r="E32" i="35"/>
  <c r="G31" i="35"/>
  <c r="C6" i="35"/>
  <c r="C8" i="35"/>
  <c r="B8" i="35"/>
  <c r="B40" i="35" s="1"/>
  <c r="I8" i="1"/>
  <c r="J14" i="1"/>
  <c r="G10" i="37"/>
  <c r="H10" i="37" s="1"/>
  <c r="H43" i="1"/>
  <c r="I43" i="1" s="1"/>
  <c r="I8" i="37"/>
  <c r="G8" i="37"/>
  <c r="H8" i="37"/>
  <c r="H9" i="37" s="1"/>
  <c r="G6" i="37"/>
  <c r="M4" i="31"/>
  <c r="E85" i="31"/>
  <c r="D85" i="31"/>
  <c r="C85" i="31"/>
  <c r="E72" i="31"/>
  <c r="D72" i="31"/>
  <c r="C72" i="31"/>
  <c r="E46" i="31"/>
  <c r="D46" i="31"/>
  <c r="C46" i="31"/>
  <c r="E24" i="31"/>
  <c r="D24" i="31"/>
  <c r="C24" i="31"/>
  <c r="C104" i="33"/>
  <c r="C106" i="33" s="1"/>
  <c r="F1" i="34"/>
  <c r="M1" i="34" s="1"/>
  <c r="E104" i="33"/>
  <c r="E106" i="33" s="1"/>
  <c r="D104" i="33"/>
  <c r="D106" i="33" s="1"/>
  <c r="E85" i="33"/>
  <c r="D85" i="33"/>
  <c r="C85" i="33"/>
  <c r="E72" i="33"/>
  <c r="D72" i="33"/>
  <c r="C72" i="33"/>
  <c r="E46" i="33"/>
  <c r="D46" i="33"/>
  <c r="C46" i="33"/>
  <c r="E24" i="33"/>
  <c r="D24" i="33"/>
  <c r="C24" i="33"/>
  <c r="E85" i="23"/>
  <c r="D85" i="23"/>
  <c r="C85" i="23"/>
  <c r="E72" i="23"/>
  <c r="D72" i="23"/>
  <c r="C72" i="23"/>
  <c r="E24" i="23"/>
  <c r="D24" i="23"/>
  <c r="C24" i="23"/>
  <c r="M16" i="31"/>
  <c r="F72" i="33"/>
  <c r="F85" i="23"/>
  <c r="F24" i="23"/>
  <c r="F72" i="23"/>
  <c r="H16" i="36"/>
  <c r="N13" i="35"/>
  <c r="K14" i="35"/>
  <c r="O108" i="35"/>
  <c r="G15" i="37"/>
  <c r="H15" i="37" s="1"/>
  <c r="D15" i="37" s="1"/>
  <c r="G19" i="36"/>
  <c r="F19" i="36"/>
  <c r="F14" i="36"/>
  <c r="F13" i="36"/>
  <c r="F12" i="36"/>
  <c r="N18" i="37"/>
  <c r="H12" i="37"/>
  <c r="I12" i="37" s="1"/>
  <c r="P17" i="37"/>
  <c r="A17" i="37"/>
  <c r="A16" i="37"/>
  <c r="A15" i="37"/>
  <c r="A10" i="37"/>
  <c r="A9" i="37"/>
  <c r="A8" i="37"/>
  <c r="F7" i="37"/>
  <c r="F9" i="37" s="1"/>
  <c r="F11" i="37" s="1"/>
  <c r="F14" i="37" s="1"/>
  <c r="F16" i="37" s="1"/>
  <c r="E7" i="37"/>
  <c r="E9" i="37" s="1"/>
  <c r="D7" i="37"/>
  <c r="D9" i="37" s="1"/>
  <c r="A7" i="37"/>
  <c r="I6" i="37"/>
  <c r="H6" i="37"/>
  <c r="B15" i="36"/>
  <c r="B23" i="36" s="1"/>
  <c r="A15" i="36"/>
  <c r="A23" i="36" s="1"/>
  <c r="D17" i="36"/>
  <c r="B17" i="36"/>
  <c r="B25" i="36" s="1"/>
  <c r="A17" i="36"/>
  <c r="A25" i="36" s="1"/>
  <c r="B16" i="36"/>
  <c r="B24" i="36" s="1"/>
  <c r="A16" i="36"/>
  <c r="A24" i="36" s="1"/>
  <c r="B14" i="36"/>
  <c r="B22" i="36" s="1"/>
  <c r="A14" i="36"/>
  <c r="A22" i="36" s="1"/>
  <c r="B13" i="36"/>
  <c r="B21" i="36" s="1"/>
  <c r="A13" i="36"/>
  <c r="A21" i="36" s="1"/>
  <c r="B12" i="36"/>
  <c r="B20" i="36" s="1"/>
  <c r="A12" i="36"/>
  <c r="A20" i="36" s="1"/>
  <c r="I7" i="37"/>
  <c r="N3" i="35"/>
  <c r="D7" i="35"/>
  <c r="B7" i="35"/>
  <c r="B35" i="35" s="1"/>
  <c r="G7" i="1"/>
  <c r="I7" i="1" s="1"/>
  <c r="I36" i="1"/>
  <c r="G66" i="35"/>
  <c r="G61" i="35"/>
  <c r="G56" i="35"/>
  <c r="G51" i="35"/>
  <c r="G46" i="35"/>
  <c r="B89" i="35"/>
  <c r="K101" i="35"/>
  <c r="K106" i="35"/>
  <c r="K105" i="35"/>
  <c r="K104" i="35"/>
  <c r="K103" i="35"/>
  <c r="K102" i="35"/>
  <c r="K79" i="35"/>
  <c r="K78" i="35"/>
  <c r="K77" i="35"/>
  <c r="K76" i="35"/>
  <c r="K75" i="35"/>
  <c r="H3" i="1"/>
  <c r="G6" i="1"/>
  <c r="G5" i="1"/>
  <c r="G4" i="1"/>
  <c r="G3" i="1"/>
  <c r="E38" i="1"/>
  <c r="E6" i="1"/>
  <c r="E5" i="1"/>
  <c r="E4" i="1"/>
  <c r="E3" i="1"/>
  <c r="D38" i="1"/>
  <c r="D6" i="1"/>
  <c r="D5" i="1"/>
  <c r="D4" i="1"/>
  <c r="D3" i="1"/>
  <c r="J103" i="35"/>
  <c r="H103" i="35"/>
  <c r="H58" i="35"/>
  <c r="H59" i="35" s="1"/>
  <c r="H77" i="35" s="1"/>
  <c r="G7" i="37"/>
  <c r="J105" i="35"/>
  <c r="I105" i="35"/>
  <c r="H105" i="35"/>
  <c r="G105" i="35"/>
  <c r="F105" i="35"/>
  <c r="E105" i="35"/>
  <c r="D105" i="35"/>
  <c r="J69" i="35"/>
  <c r="J79" i="35" s="1"/>
  <c r="G67" i="35"/>
  <c r="F67" i="35"/>
  <c r="E67" i="35"/>
  <c r="C67" i="35"/>
  <c r="F66" i="35"/>
  <c r="E66" i="35"/>
  <c r="C66" i="35"/>
  <c r="G30" i="35"/>
  <c r="G29" i="35"/>
  <c r="C68" i="35"/>
  <c r="B29" i="35"/>
  <c r="B66" i="35" s="1"/>
  <c r="B79" i="35" s="1"/>
  <c r="B97" i="35" s="1"/>
  <c r="B105" i="35" s="1"/>
  <c r="J64" i="35"/>
  <c r="J54" i="35"/>
  <c r="J76" i="35" s="1"/>
  <c r="J49" i="35"/>
  <c r="J75" i="35" s="1"/>
  <c r="J59" i="35"/>
  <c r="J77" i="35" s="1"/>
  <c r="N18" i="35"/>
  <c r="H53" i="35" s="1"/>
  <c r="H54" i="35" s="1"/>
  <c r="H76" i="35" s="1"/>
  <c r="I103" i="35"/>
  <c r="G103" i="35"/>
  <c r="F103" i="35"/>
  <c r="E103" i="35"/>
  <c r="D103" i="35"/>
  <c r="I58" i="35"/>
  <c r="I59" i="35" s="1"/>
  <c r="I77" i="35" s="1"/>
  <c r="B77" i="35"/>
  <c r="B95" i="35" s="1"/>
  <c r="B103" i="35" s="1"/>
  <c r="G58" i="35"/>
  <c r="F58" i="35"/>
  <c r="E58" i="35"/>
  <c r="G57" i="35"/>
  <c r="F57" i="35"/>
  <c r="E57" i="35"/>
  <c r="F56" i="35"/>
  <c r="E56" i="35"/>
  <c r="C56" i="35"/>
  <c r="C57" i="35"/>
  <c r="J102" i="35"/>
  <c r="J106" i="35"/>
  <c r="J104" i="35"/>
  <c r="J101" i="35"/>
  <c r="H63" i="35"/>
  <c r="H64" i="35" s="1"/>
  <c r="H78" i="35" s="1"/>
  <c r="G63" i="35"/>
  <c r="N12" i="35"/>
  <c r="I63" i="35"/>
  <c r="I106" i="35"/>
  <c r="H106" i="35"/>
  <c r="G106" i="35"/>
  <c r="F106" i="35"/>
  <c r="E106" i="35"/>
  <c r="I104" i="35"/>
  <c r="H104" i="35"/>
  <c r="G104" i="35"/>
  <c r="F104" i="35"/>
  <c r="E104" i="35"/>
  <c r="I102" i="35"/>
  <c r="H102" i="35"/>
  <c r="G102" i="35"/>
  <c r="F102" i="35"/>
  <c r="E102" i="35"/>
  <c r="I101" i="35"/>
  <c r="H101" i="35"/>
  <c r="G101" i="35"/>
  <c r="F101" i="35"/>
  <c r="E101" i="35"/>
  <c r="D101" i="35"/>
  <c r="D102" i="35"/>
  <c r="D104" i="35"/>
  <c r="D106" i="35"/>
  <c r="B98" i="35"/>
  <c r="B106" i="35" s="1"/>
  <c r="B78" i="35"/>
  <c r="B87" i="35" s="1"/>
  <c r="B76" i="35"/>
  <c r="B85" i="35" s="1"/>
  <c r="B75" i="35"/>
  <c r="B93" i="35" s="1"/>
  <c r="B101" i="35" s="1"/>
  <c r="I62" i="35"/>
  <c r="G62" i="35"/>
  <c r="G52" i="35"/>
  <c r="G47" i="35"/>
  <c r="F46" i="35"/>
  <c r="F63" i="35"/>
  <c r="F62" i="35"/>
  <c r="F61" i="35"/>
  <c r="F52" i="35"/>
  <c r="F51" i="35"/>
  <c r="F47" i="35"/>
  <c r="E51" i="35"/>
  <c r="E46" i="35"/>
  <c r="E61" i="35"/>
  <c r="C62" i="35"/>
  <c r="C61" i="35"/>
  <c r="C51" i="35"/>
  <c r="C46" i="35"/>
  <c r="B46" i="35"/>
  <c r="E62" i="35"/>
  <c r="E63" i="35"/>
  <c r="E52" i="35"/>
  <c r="C52" i="35"/>
  <c r="E47" i="35"/>
  <c r="C47" i="35"/>
  <c r="C48" i="35"/>
  <c r="J5" i="35"/>
  <c r="I5" i="35"/>
  <c r="H5" i="35"/>
  <c r="F5" i="35"/>
  <c r="E5" i="35"/>
  <c r="J4" i="35"/>
  <c r="I4" i="35"/>
  <c r="H4" i="35"/>
  <c r="M4" i="35" s="1"/>
  <c r="O103" i="35" s="1"/>
  <c r="F4" i="35"/>
  <c r="E4" i="35"/>
  <c r="G23" i="35"/>
  <c r="G4" i="35" s="1"/>
  <c r="H5" i="1" s="1"/>
  <c r="G27" i="35"/>
  <c r="G5" i="35" s="1"/>
  <c r="H6" i="1" s="1"/>
  <c r="G26" i="35"/>
  <c r="P48" i="35" s="1"/>
  <c r="G25" i="35"/>
  <c r="D61" i="35" s="1"/>
  <c r="C27" i="35"/>
  <c r="C63" i="35" s="1"/>
  <c r="C23" i="35"/>
  <c r="C31" i="35" s="1"/>
  <c r="C18" i="35"/>
  <c r="C53" i="35" s="1"/>
  <c r="F2" i="35"/>
  <c r="F14" i="35" s="1"/>
  <c r="G20" i="35"/>
  <c r="G21" i="35"/>
  <c r="G22" i="35"/>
  <c r="G13" i="35"/>
  <c r="G12" i="35"/>
  <c r="D46" i="35" s="1"/>
  <c r="B25" i="35"/>
  <c r="B61" i="35" s="1"/>
  <c r="B20" i="35"/>
  <c r="B56" i="35" s="1"/>
  <c r="G17" i="35"/>
  <c r="G16" i="35"/>
  <c r="J18" i="35"/>
  <c r="I18" i="35"/>
  <c r="I53" i="35" s="1"/>
  <c r="I54" i="35" s="1"/>
  <c r="I76" i="35" s="1"/>
  <c r="H18" i="35"/>
  <c r="F18" i="35"/>
  <c r="E18" i="35"/>
  <c r="B16" i="35"/>
  <c r="B51" i="35" s="1"/>
  <c r="J14" i="35"/>
  <c r="H14" i="35"/>
  <c r="H48" i="35" s="1"/>
  <c r="H49" i="35" s="1"/>
  <c r="H75" i="35" s="1"/>
  <c r="E14" i="35"/>
  <c r="G3" i="35"/>
  <c r="G18" i="35" s="1"/>
  <c r="G14" i="35"/>
  <c r="F85" i="31"/>
  <c r="F72" i="31"/>
  <c r="F46" i="31"/>
  <c r="F24" i="31"/>
  <c r="F104" i="33"/>
  <c r="F106" i="33" s="1"/>
  <c r="F85" i="33"/>
  <c r="F46" i="33"/>
  <c r="F24" i="33"/>
  <c r="J16" i="36"/>
  <c r="J25" i="36"/>
  <c r="J17" i="36"/>
  <c r="G25" i="36"/>
  <c r="F25" i="36"/>
  <c r="I37" i="1"/>
  <c r="I35" i="1"/>
  <c r="I34" i="1"/>
  <c r="I33" i="1"/>
  <c r="I32" i="1"/>
  <c r="I31" i="1"/>
  <c r="M1" i="24"/>
  <c r="L1" i="24"/>
  <c r="K1" i="24"/>
  <c r="J1" i="24"/>
  <c r="L17" i="1"/>
  <c r="I17" i="1"/>
  <c r="L16" i="1"/>
  <c r="I16" i="1"/>
  <c r="K18" i="35"/>
  <c r="M102" i="35"/>
  <c r="O102" i="35"/>
  <c r="O104" i="35"/>
  <c r="M104" i="35"/>
  <c r="K27" i="35"/>
  <c r="M27" i="35" s="1"/>
  <c r="I22" i="36" l="1"/>
  <c r="L1" i="23"/>
  <c r="D14" i="36"/>
  <c r="F88" i="33"/>
  <c r="F109" i="33" s="1"/>
  <c r="M14" i="23"/>
  <c r="I20" i="36"/>
  <c r="E20" i="36"/>
  <c r="C12" i="36"/>
  <c r="N1" i="23"/>
  <c r="L2" i="22"/>
  <c r="M101" i="35"/>
  <c r="M12" i="21"/>
  <c r="J2" i="26"/>
  <c r="K7" i="37"/>
  <c r="M15" i="23"/>
  <c r="E13" i="36"/>
  <c r="L14" i="23"/>
  <c r="L8" i="26"/>
  <c r="D22" i="36"/>
  <c r="K2" i="22"/>
  <c r="C22" i="36"/>
  <c r="C14" i="36"/>
  <c r="E22" i="36"/>
  <c r="H22" i="36"/>
  <c r="E49" i="23"/>
  <c r="K7" i="33"/>
  <c r="F22" i="36"/>
  <c r="G22" i="36"/>
  <c r="E14" i="36"/>
  <c r="D31" i="24"/>
  <c r="D36" i="24" s="1"/>
  <c r="B96" i="35"/>
  <c r="B104" i="35" s="1"/>
  <c r="L2" i="26"/>
  <c r="J2" i="22"/>
  <c r="K7" i="23"/>
  <c r="E49" i="33"/>
  <c r="L7" i="25"/>
  <c r="G88" i="21"/>
  <c r="H20" i="36"/>
  <c r="G46" i="25"/>
  <c r="E88" i="21"/>
  <c r="E109" i="21" s="1"/>
  <c r="E88" i="25"/>
  <c r="E109" i="25" s="1"/>
  <c r="K12" i="21"/>
  <c r="G46" i="21"/>
  <c r="M14" i="25"/>
  <c r="M18" i="35"/>
  <c r="G21" i="36"/>
  <c r="F49" i="23"/>
  <c r="L14" i="21"/>
  <c r="L14" i="35"/>
  <c r="B88" i="35"/>
  <c r="H68" i="35"/>
  <c r="H69" i="35" s="1"/>
  <c r="H79" i="35" s="1"/>
  <c r="G9" i="37"/>
  <c r="G11" i="37" s="1"/>
  <c r="G14" i="37" s="1"/>
  <c r="G16" i="37" s="1"/>
  <c r="D17" i="37" s="1"/>
  <c r="L9" i="37" s="1"/>
  <c r="C31" i="24"/>
  <c r="C36" i="24" s="1"/>
  <c r="K2" i="25" s="1"/>
  <c r="E36" i="22"/>
  <c r="L3" i="22"/>
  <c r="E31" i="34"/>
  <c r="E36" i="34" s="1"/>
  <c r="M2" i="33" s="1"/>
  <c r="L5" i="1"/>
  <c r="G88" i="25"/>
  <c r="I6" i="1"/>
  <c r="K12" i="33"/>
  <c r="D49" i="25"/>
  <c r="B86" i="35"/>
  <c r="L3" i="1"/>
  <c r="C88" i="23"/>
  <c r="C109" i="23" s="1"/>
  <c r="B49" i="33"/>
  <c r="C88" i="21"/>
  <c r="C109" i="21" s="1"/>
  <c r="I9" i="37"/>
  <c r="G32" i="35"/>
  <c r="L12" i="25"/>
  <c r="E68" i="35"/>
  <c r="E69" i="35" s="1"/>
  <c r="E79" i="35" s="1"/>
  <c r="G46" i="23"/>
  <c r="G85" i="33"/>
  <c r="G88" i="33" s="1"/>
  <c r="B49" i="25"/>
  <c r="D10" i="37"/>
  <c r="D11" i="37" s="1"/>
  <c r="D14" i="37" s="1"/>
  <c r="D16" i="37" s="1"/>
  <c r="I10" i="37"/>
  <c r="E10" i="37" s="1"/>
  <c r="E11" i="37" s="1"/>
  <c r="E14" i="37" s="1"/>
  <c r="L15" i="31"/>
  <c r="L12" i="23"/>
  <c r="L8" i="34"/>
  <c r="M16" i="33" s="1"/>
  <c r="I15" i="36"/>
  <c r="G24" i="33"/>
  <c r="F88" i="25"/>
  <c r="F109" i="25" s="1"/>
  <c r="M1" i="23"/>
  <c r="L23" i="35"/>
  <c r="E49" i="31"/>
  <c r="C15" i="36"/>
  <c r="D58" i="35"/>
  <c r="N14" i="35"/>
  <c r="I14" i="35" s="1"/>
  <c r="I48" i="35" s="1"/>
  <c r="I49" i="35" s="1"/>
  <c r="I75" i="35" s="1"/>
  <c r="K7" i="21"/>
  <c r="C49" i="21"/>
  <c r="F88" i="21"/>
  <c r="F109" i="21" s="1"/>
  <c r="H14" i="37"/>
  <c r="D56" i="35"/>
  <c r="D49" i="31"/>
  <c r="D49" i="23"/>
  <c r="L7" i="21"/>
  <c r="D88" i="25"/>
  <c r="D109" i="25" s="1"/>
  <c r="E64" i="35"/>
  <c r="E78" i="35" s="1"/>
  <c r="C88" i="31"/>
  <c r="C109" i="31" s="1"/>
  <c r="B49" i="23"/>
  <c r="G24" i="23"/>
  <c r="O6" i="26"/>
  <c r="F1" i="31"/>
  <c r="N1" i="31" s="1"/>
  <c r="N1" i="33"/>
  <c r="I3" i="1"/>
  <c r="L14" i="31"/>
  <c r="J8" i="22"/>
  <c r="B49" i="21"/>
  <c r="J8" i="26"/>
  <c r="F88" i="31"/>
  <c r="F109" i="31" s="1"/>
  <c r="M7" i="31"/>
  <c r="G46" i="31"/>
  <c r="B88" i="23"/>
  <c r="B109" i="23" s="1"/>
  <c r="M2" i="31"/>
  <c r="K12" i="23"/>
  <c r="M12" i="23"/>
  <c r="E88" i="33"/>
  <c r="M10" i="33" s="1"/>
  <c r="D88" i="31"/>
  <c r="D109" i="31" s="1"/>
  <c r="J2" i="34"/>
  <c r="K4" i="33" s="1"/>
  <c r="K1" i="23"/>
  <c r="G88" i="23"/>
  <c r="J8" i="24"/>
  <c r="K16" i="25" s="1"/>
  <c r="P8" i="33"/>
  <c r="K12" i="25"/>
  <c r="B88" i="31"/>
  <c r="B109" i="31" s="1"/>
  <c r="G24" i="31"/>
  <c r="C49" i="25"/>
  <c r="E36" i="26"/>
  <c r="L3" i="26"/>
  <c r="L27" i="35"/>
  <c r="F59" i="35"/>
  <c r="F77" i="35" s="1"/>
  <c r="D88" i="23"/>
  <c r="D109" i="23" s="1"/>
  <c r="P8" i="31"/>
  <c r="F49" i="21"/>
  <c r="E48" i="35"/>
  <c r="E49" i="35" s="1"/>
  <c r="E75" i="35" s="1"/>
  <c r="M7" i="35"/>
  <c r="L8" i="24"/>
  <c r="M16" i="25" s="1"/>
  <c r="G24" i="25"/>
  <c r="K15" i="25"/>
  <c r="I5" i="1"/>
  <c r="L15" i="33"/>
  <c r="C49" i="31"/>
  <c r="E88" i="31"/>
  <c r="E109" i="31" s="1"/>
  <c r="M12" i="25"/>
  <c r="M15" i="25"/>
  <c r="B84" i="35"/>
  <c r="L106" i="35"/>
  <c r="L103" i="35"/>
  <c r="I15" i="37"/>
  <c r="E15" i="37" s="1"/>
  <c r="G64" i="35"/>
  <c r="G78" i="35" s="1"/>
  <c r="L104" i="35"/>
  <c r="N104" i="35" s="1"/>
  <c r="J6" i="1" s="1"/>
  <c r="G24" i="21"/>
  <c r="H4" i="1"/>
  <c r="I4" i="1" s="1"/>
  <c r="L105" i="35"/>
  <c r="L16" i="31"/>
  <c r="P16" i="31" s="1"/>
  <c r="B88" i="33"/>
  <c r="B109" i="33" s="1"/>
  <c r="G85" i="31"/>
  <c r="G88" i="31" s="1"/>
  <c r="O6" i="34"/>
  <c r="L101" i="35"/>
  <c r="L7" i="33"/>
  <c r="C88" i="33"/>
  <c r="C109" i="33" s="1"/>
  <c r="M12" i="31"/>
  <c r="K4" i="31"/>
  <c r="P4" i="31" s="1"/>
  <c r="D49" i="21"/>
  <c r="E49" i="21"/>
  <c r="D36" i="22"/>
  <c r="K3" i="22"/>
  <c r="L4" i="25"/>
  <c r="L4" i="23"/>
  <c r="D48" i="35"/>
  <c r="E59" i="35"/>
  <c r="E77" i="35" s="1"/>
  <c r="J43" i="1"/>
  <c r="G46" i="33"/>
  <c r="P8" i="21"/>
  <c r="M7" i="21"/>
  <c r="H16" i="52"/>
  <c r="M14" i="35"/>
  <c r="D53" i="35"/>
  <c r="D47" i="35"/>
  <c r="I64" i="35"/>
  <c r="I78" i="35" s="1"/>
  <c r="D49" i="33"/>
  <c r="K15" i="23"/>
  <c r="C49" i="33"/>
  <c r="P14" i="31"/>
  <c r="B88" i="21"/>
  <c r="B109" i="21" s="1"/>
  <c r="D88" i="21"/>
  <c r="P8" i="25"/>
  <c r="E49" i="25"/>
  <c r="B88" i="25"/>
  <c r="B109" i="25" s="1"/>
  <c r="F49" i="31"/>
  <c r="F64" i="35"/>
  <c r="F78" i="35" s="1"/>
  <c r="L12" i="31"/>
  <c r="H6" i="35"/>
  <c r="M6" i="35" s="1"/>
  <c r="O105" i="35" s="1"/>
  <c r="M42" i="35"/>
  <c r="K8" i="22"/>
  <c r="O6" i="24"/>
  <c r="K14" i="33"/>
  <c r="P14" i="33" s="1"/>
  <c r="M7" i="25"/>
  <c r="F49" i="25"/>
  <c r="C88" i="25"/>
  <c r="C109" i="25" s="1"/>
  <c r="D27" i="52"/>
  <c r="D31" i="34"/>
  <c r="B94" i="35"/>
  <c r="B102" i="35" s="1"/>
  <c r="L7" i="23"/>
  <c r="K8" i="35"/>
  <c r="M8" i="35" s="1"/>
  <c r="G33" i="35"/>
  <c r="D68" i="35" s="1"/>
  <c r="L7" i="35"/>
  <c r="O7" i="35" s="1"/>
  <c r="L2" i="24"/>
  <c r="O2" i="24" s="1"/>
  <c r="K7" i="25"/>
  <c r="K8" i="26"/>
  <c r="L18" i="35"/>
  <c r="F53" i="35"/>
  <c r="F54" i="35" s="1"/>
  <c r="F76" i="35" s="1"/>
  <c r="G48" i="35"/>
  <c r="G49" i="35" s="1"/>
  <c r="G75" i="35" s="1"/>
  <c r="F88" i="23"/>
  <c r="F109" i="23" s="1"/>
  <c r="E88" i="23"/>
  <c r="E109" i="23" s="1"/>
  <c r="E31" i="24"/>
  <c r="L12" i="33"/>
  <c r="F49" i="33"/>
  <c r="D62" i="35"/>
  <c r="L4" i="35"/>
  <c r="O4" i="35" s="1"/>
  <c r="G53" i="35"/>
  <c r="G54" i="35" s="1"/>
  <c r="G76" i="35" s="1"/>
  <c r="C49" i="23"/>
  <c r="P8" i="23"/>
  <c r="L12" i="21"/>
  <c r="L8" i="22"/>
  <c r="B49" i="31"/>
  <c r="O6" i="22"/>
  <c r="D57" i="35"/>
  <c r="M15" i="31"/>
  <c r="L6" i="1"/>
  <c r="D67" i="35"/>
  <c r="D66" i="35"/>
  <c r="K15" i="33"/>
  <c r="K15" i="31"/>
  <c r="E53" i="35"/>
  <c r="E54" i="35" s="1"/>
  <c r="E76" i="35" s="1"/>
  <c r="C58" i="35"/>
  <c r="L15" i="23"/>
  <c r="D63" i="35"/>
  <c r="G59" i="35"/>
  <c r="G77" i="35" s="1"/>
  <c r="L2" i="31"/>
  <c r="M7" i="23"/>
  <c r="M12" i="33"/>
  <c r="M7" i="33"/>
  <c r="D88" i="33"/>
  <c r="K12" i="31"/>
  <c r="K7" i="31"/>
  <c r="L7" i="31"/>
  <c r="J8" i="34"/>
  <c r="K8" i="34"/>
  <c r="L16" i="33" s="1"/>
  <c r="K2" i="31"/>
  <c r="E6" i="35"/>
  <c r="G68" i="35"/>
  <c r="G69" i="35" s="1"/>
  <c r="G79" i="35" s="1"/>
  <c r="O101" i="35"/>
  <c r="K4" i="23"/>
  <c r="K4" i="21"/>
  <c r="K15" i="21"/>
  <c r="L15" i="21"/>
  <c r="I6" i="35"/>
  <c r="F68" i="35"/>
  <c r="F69" i="35" s="1"/>
  <c r="F79" i="35" s="1"/>
  <c r="L102" i="35"/>
  <c r="P102" i="35" s="1"/>
  <c r="C36" i="34"/>
  <c r="K2" i="33" s="1"/>
  <c r="D52" i="35"/>
  <c r="D51" i="35"/>
  <c r="M15" i="33"/>
  <c r="L15" i="25"/>
  <c r="K14" i="25"/>
  <c r="L4" i="21"/>
  <c r="K14" i="21"/>
  <c r="K8" i="24"/>
  <c r="D21" i="36"/>
  <c r="M15" i="21"/>
  <c r="D31" i="26"/>
  <c r="L1" i="33"/>
  <c r="K2" i="26"/>
  <c r="K2" i="34"/>
  <c r="L4" i="33" s="1"/>
  <c r="I21" i="36"/>
  <c r="C21" i="36"/>
  <c r="E21" i="36"/>
  <c r="J21" i="36"/>
  <c r="D13" i="36"/>
  <c r="H21" i="36"/>
  <c r="F21" i="36"/>
  <c r="E12" i="36"/>
  <c r="E23" i="36"/>
  <c r="H15" i="36"/>
  <c r="F23" i="36"/>
  <c r="F26" i="36" s="1"/>
  <c r="D15" i="36"/>
  <c r="D20" i="36"/>
  <c r="G20" i="36"/>
  <c r="G23" i="36"/>
  <c r="G26" i="36" s="1"/>
  <c r="F20" i="36"/>
  <c r="J23" i="36"/>
  <c r="J26" i="36" s="1"/>
  <c r="I23" i="36"/>
  <c r="I26" i="36" s="1"/>
  <c r="J15" i="36"/>
  <c r="D23" i="36"/>
  <c r="H23" i="36"/>
  <c r="D12" i="36"/>
  <c r="E15" i="36"/>
  <c r="J20" i="36"/>
  <c r="K1" i="33"/>
  <c r="C1" i="31"/>
  <c r="K1" i="31" s="1"/>
  <c r="E1" i="31"/>
  <c r="M1" i="31" s="1"/>
  <c r="M1" i="33"/>
  <c r="M108" i="35"/>
  <c r="N101" i="35" l="1"/>
  <c r="J3" i="1" s="1"/>
  <c r="L3" i="31"/>
  <c r="P14" i="23"/>
  <c r="M3" i="33"/>
  <c r="M6" i="23"/>
  <c r="G49" i="25"/>
  <c r="G111" i="25" s="1"/>
  <c r="L4" i="1"/>
  <c r="O2" i="22"/>
  <c r="P12" i="21"/>
  <c r="K16" i="23"/>
  <c r="K6" i="23"/>
  <c r="O2" i="26"/>
  <c r="P14" i="21"/>
  <c r="O8" i="26"/>
  <c r="M10" i="21"/>
  <c r="K3" i="24"/>
  <c r="L11" i="23" s="1"/>
  <c r="P15" i="23"/>
  <c r="F48" i="35"/>
  <c r="F49" i="35" s="1"/>
  <c r="F75" i="35" s="1"/>
  <c r="I11" i="37"/>
  <c r="I14" i="37" s="1"/>
  <c r="I16" i="37" s="1"/>
  <c r="M10" i="23"/>
  <c r="P12" i="23"/>
  <c r="K3" i="33"/>
  <c r="L6" i="21"/>
  <c r="B113" i="33"/>
  <c r="D49" i="35"/>
  <c r="D75" i="35" s="1"/>
  <c r="P12" i="25"/>
  <c r="K3" i="25"/>
  <c r="M4" i="25"/>
  <c r="P4" i="25" s="1"/>
  <c r="P7" i="21"/>
  <c r="K16" i="21"/>
  <c r="P14" i="25"/>
  <c r="G49" i="21"/>
  <c r="G111" i="21" s="1"/>
  <c r="L10" i="25"/>
  <c r="M4" i="23"/>
  <c r="P4" i="23" s="1"/>
  <c r="M4" i="21"/>
  <c r="P4" i="21" s="1"/>
  <c r="K6" i="33"/>
  <c r="K10" i="33"/>
  <c r="O3" i="22"/>
  <c r="M6" i="31"/>
  <c r="K6" i="21"/>
  <c r="L3" i="21"/>
  <c r="C113" i="33"/>
  <c r="K10" i="21"/>
  <c r="M6" i="21"/>
  <c r="L10" i="31"/>
  <c r="L33" i="35"/>
  <c r="P105" i="35"/>
  <c r="G49" i="33"/>
  <c r="G111" i="33" s="1"/>
  <c r="K6" i="25"/>
  <c r="L3" i="34"/>
  <c r="M11" i="33" s="1"/>
  <c r="G49" i="23"/>
  <c r="G111" i="23" s="1"/>
  <c r="E109" i="33"/>
  <c r="E113" i="33" s="1"/>
  <c r="D64" i="35"/>
  <c r="D78" i="35" s="1"/>
  <c r="K6" i="31"/>
  <c r="P6" i="31" s="1"/>
  <c r="M10" i="35"/>
  <c r="N10" i="35" s="1"/>
  <c r="P10" i="35" s="1"/>
  <c r="K2" i="23"/>
  <c r="M6" i="33"/>
  <c r="O8" i="22"/>
  <c r="D59" i="35"/>
  <c r="D77" i="35" s="1"/>
  <c r="G6" i="35"/>
  <c r="H38" i="1" s="1"/>
  <c r="L6" i="23"/>
  <c r="L10" i="23"/>
  <c r="L6" i="31"/>
  <c r="P12" i="31"/>
  <c r="K10" i="31"/>
  <c r="M3" i="31"/>
  <c r="L10" i="33"/>
  <c r="I2" i="35"/>
  <c r="K2" i="21"/>
  <c r="L3" i="33"/>
  <c r="P15" i="31"/>
  <c r="M3" i="25"/>
  <c r="L6" i="25"/>
  <c r="K3" i="31"/>
  <c r="P3" i="31" s="1"/>
  <c r="M10" i="31"/>
  <c r="P2" i="31"/>
  <c r="K10" i="25"/>
  <c r="P104" i="35"/>
  <c r="I12" i="1"/>
  <c r="I14" i="1" s="1"/>
  <c r="K14" i="1" s="1"/>
  <c r="E16" i="37"/>
  <c r="L10" i="21"/>
  <c r="G49" i="31"/>
  <c r="G111" i="31" s="1"/>
  <c r="M16" i="23"/>
  <c r="M16" i="21"/>
  <c r="K3" i="21"/>
  <c r="D109" i="33"/>
  <c r="D113" i="33" s="1"/>
  <c r="P7" i="23"/>
  <c r="L3" i="25"/>
  <c r="P15" i="25"/>
  <c r="P7" i="33"/>
  <c r="D109" i="21"/>
  <c r="D54" i="35"/>
  <c r="D76" i="35" s="1"/>
  <c r="L8" i="35"/>
  <c r="O8" i="35" s="1"/>
  <c r="L3" i="24"/>
  <c r="M11" i="23" s="1"/>
  <c r="M3" i="23"/>
  <c r="E36" i="24"/>
  <c r="M2" i="25" s="1"/>
  <c r="M3" i="21"/>
  <c r="L3" i="23"/>
  <c r="L6" i="33"/>
  <c r="P12" i="33"/>
  <c r="P15" i="21"/>
  <c r="P7" i="31"/>
  <c r="M10" i="25"/>
  <c r="M6" i="25"/>
  <c r="P7" i="25"/>
  <c r="K3" i="23"/>
  <c r="M103" i="35"/>
  <c r="N103" i="35" s="1"/>
  <c r="J5" i="1" s="1"/>
  <c r="K10" i="23"/>
  <c r="F113" i="33"/>
  <c r="D36" i="34"/>
  <c r="L2" i="33" s="1"/>
  <c r="P2" i="33" s="1"/>
  <c r="K3" i="34"/>
  <c r="L2" i="21"/>
  <c r="L2" i="25"/>
  <c r="L2" i="23"/>
  <c r="O2" i="34"/>
  <c r="D36" i="26"/>
  <c r="K3" i="26"/>
  <c r="O3" i="26" s="1"/>
  <c r="P4" i="33"/>
  <c r="O106" i="35"/>
  <c r="P101" i="35"/>
  <c r="P15" i="33"/>
  <c r="D69" i="35"/>
  <c r="D79" i="35" s="1"/>
  <c r="O8" i="24"/>
  <c r="L16" i="23"/>
  <c r="L16" i="25"/>
  <c r="P16" i="25" s="1"/>
  <c r="L16" i="21"/>
  <c r="L11" i="31"/>
  <c r="P11" i="31" s="1"/>
  <c r="N102" i="35"/>
  <c r="K16" i="33"/>
  <c r="P16" i="33" s="1"/>
  <c r="O8" i="34"/>
  <c r="H26" i="36"/>
  <c r="K23" i="36"/>
  <c r="L11" i="21" l="1"/>
  <c r="P6" i="23"/>
  <c r="L11" i="25"/>
  <c r="P10" i="21"/>
  <c r="P6" i="33"/>
  <c r="H80" i="35"/>
  <c r="P10" i="33"/>
  <c r="P3" i="33"/>
  <c r="P16" i="23"/>
  <c r="P3" i="25"/>
  <c r="P6" i="25"/>
  <c r="P3" i="21"/>
  <c r="P10" i="31"/>
  <c r="P6" i="21"/>
  <c r="P16" i="21"/>
  <c r="M11" i="25"/>
  <c r="P11" i="25" s="1"/>
  <c r="P106" i="35"/>
  <c r="O110" i="35" s="1"/>
  <c r="P10" i="23"/>
  <c r="M11" i="21"/>
  <c r="O3" i="24"/>
  <c r="L6" i="35"/>
  <c r="O6" i="35" s="1"/>
  <c r="O9" i="35" s="1"/>
  <c r="N11" i="35" s="1"/>
  <c r="P11" i="35" s="1"/>
  <c r="P10" i="25"/>
  <c r="P3" i="23"/>
  <c r="M2" i="21"/>
  <c r="P2" i="21" s="1"/>
  <c r="M2" i="23"/>
  <c r="P2" i="23" s="1"/>
  <c r="L11" i="33"/>
  <c r="P11" i="33" s="1"/>
  <c r="O3" i="34"/>
  <c r="P2" i="25"/>
  <c r="J4" i="1"/>
  <c r="J12" i="1" s="1"/>
  <c r="P11" i="23"/>
  <c r="H29" i="36"/>
  <c r="H30" i="36" s="1"/>
  <c r="H31" i="36" s="1"/>
  <c r="L11" i="37"/>
  <c r="L10" i="37" s="1"/>
  <c r="L13" i="37" s="1"/>
  <c r="I80" i="35"/>
  <c r="P11" i="21" l="1"/>
  <c r="L10" i="35"/>
  <c r="M105" i="35"/>
  <c r="N105" i="35" s="1"/>
  <c r="F80" i="35"/>
  <c r="E80" i="35"/>
  <c r="G80" i="35"/>
  <c r="M106" i="35" l="1"/>
  <c r="J38" i="1"/>
  <c r="N106" i="35"/>
  <c r="M110" i="35" s="1"/>
  <c r="D80" i="35"/>
  <c r="M113" i="35" l="1"/>
  <c r="N111" i="35"/>
  <c r="N113" i="35" s="1"/>
  <c r="H4" i="59" l="1"/>
  <c r="H5" i="59"/>
  <c r="H3" i="59"/>
  <c r="E4" i="59" l="1"/>
  <c r="D4" i="59"/>
  <c r="D3" i="59"/>
  <c r="D5" i="59"/>
  <c r="E5" i="59"/>
  <c r="E3" i="59" l="1"/>
  <c r="F5" i="59"/>
  <c r="G5" i="59" s="1"/>
  <c r="I5" i="59" s="1"/>
  <c r="F4" i="59"/>
  <c r="G4" i="59" s="1"/>
  <c r="I4" i="59" s="1"/>
  <c r="F3" i="59"/>
  <c r="G3" i="59" l="1"/>
  <c r="I3" i="59" s="1"/>
  <c r="I6" i="59" s="1"/>
  <c r="D11" i="59" s="1"/>
  <c r="E11" i="59" s="1"/>
  <c r="B31" i="59" s="1"/>
  <c r="G6" i="59" l="1"/>
  <c r="B33" i="59"/>
  <c r="C37" i="59"/>
  <c r="D37" i="59" l="1"/>
  <c r="E37" i="59" s="1"/>
  <c r="C38" i="59"/>
  <c r="F37" i="59"/>
  <c r="G37" i="59" s="1"/>
  <c r="C43" i="59"/>
  <c r="C4" i="61"/>
  <c r="C44" i="59" l="1"/>
  <c r="D43" i="59"/>
  <c r="E43" i="59" s="1"/>
  <c r="F43" i="59"/>
  <c r="G43" i="59" s="1"/>
  <c r="C3" i="61" l="1"/>
  <c r="C5" i="6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C12" authorId="0" shapeId="0" xr:uid="{89C85679-0C3E-48CA-9CBE-E4CFD16EEF19}">
      <text>
        <r>
          <rPr>
            <b/>
            <sz val="9"/>
            <color indexed="81"/>
            <rFont val="宋体"/>
            <family val="3"/>
            <charset val="134"/>
          </rPr>
          <t>作者:</t>
        </r>
        <r>
          <rPr>
            <sz val="9"/>
            <color indexed="81"/>
            <rFont val="宋体"/>
            <family val="3"/>
            <charset val="134"/>
          </rPr>
          <t xml:space="preserve">
资本利润率（净资产收益率）</t>
        </r>
        <r>
          <rPr>
            <sz val="9"/>
            <color indexed="81"/>
            <rFont val="Tahoma"/>
            <family val="2"/>
          </rPr>
          <t>=</t>
        </r>
        <r>
          <rPr>
            <sz val="9"/>
            <color indexed="81"/>
            <rFont val="宋体"/>
            <family val="3"/>
            <charset val="134"/>
          </rPr>
          <t>净利润</t>
        </r>
        <r>
          <rPr>
            <sz val="9"/>
            <color indexed="81"/>
            <rFont val="Tahoma"/>
            <family val="2"/>
          </rPr>
          <t>/</t>
        </r>
        <r>
          <rPr>
            <sz val="9"/>
            <color indexed="81"/>
            <rFont val="宋体"/>
            <family val="3"/>
            <charset val="134"/>
          </rPr>
          <t>净资产平均余额</t>
        </r>
        <r>
          <rPr>
            <sz val="9"/>
            <color indexed="81"/>
            <rFont val="Tahoma"/>
            <family val="2"/>
          </rPr>
          <t>×100%</t>
        </r>
      </text>
    </comment>
    <comment ref="D12" authorId="0" shapeId="0" xr:uid="{9717EE4A-8901-4782-AE3C-96D4BA34C269}">
      <text>
        <r>
          <rPr>
            <b/>
            <sz val="9"/>
            <color indexed="81"/>
            <rFont val="宋体"/>
            <family val="3"/>
            <charset val="134"/>
          </rPr>
          <t>作者:</t>
        </r>
        <r>
          <rPr>
            <sz val="9"/>
            <color indexed="81"/>
            <rFont val="宋体"/>
            <family val="3"/>
            <charset val="134"/>
          </rPr>
          <t xml:space="preserve">
资产利润率（总资产报酬率）</t>
        </r>
        <r>
          <rPr>
            <sz val="9"/>
            <color indexed="81"/>
            <rFont val="Tahoma"/>
            <family val="2"/>
          </rPr>
          <t>=</t>
        </r>
        <r>
          <rPr>
            <sz val="9"/>
            <color indexed="81"/>
            <rFont val="宋体"/>
            <family val="3"/>
            <charset val="134"/>
          </rPr>
          <t>利润总额</t>
        </r>
        <r>
          <rPr>
            <sz val="9"/>
            <color indexed="81"/>
            <rFont val="Tahoma"/>
            <family val="2"/>
          </rPr>
          <t>/</t>
        </r>
        <r>
          <rPr>
            <sz val="9"/>
            <color indexed="81"/>
            <rFont val="宋体"/>
            <family val="3"/>
            <charset val="134"/>
          </rPr>
          <t>资产平均总额</t>
        </r>
      </text>
    </comment>
    <comment ref="E12" authorId="0" shapeId="0" xr:uid="{4B674826-893B-425B-AC91-F5D9861D6A80}">
      <text>
        <r>
          <rPr>
            <b/>
            <sz val="9"/>
            <color indexed="81"/>
            <rFont val="宋体"/>
            <family val="3"/>
            <charset val="134"/>
          </rPr>
          <t>作者:</t>
        </r>
        <r>
          <rPr>
            <sz val="9"/>
            <color indexed="81"/>
            <rFont val="宋体"/>
            <family val="3"/>
            <charset val="134"/>
          </rPr>
          <t xml:space="preserve">
成本收入比＝营业费用</t>
        </r>
        <r>
          <rPr>
            <sz val="9"/>
            <color indexed="81"/>
            <rFont val="Tahoma"/>
            <family val="2"/>
          </rPr>
          <t>/</t>
        </r>
        <r>
          <rPr>
            <sz val="9"/>
            <color indexed="81"/>
            <rFont val="宋体"/>
            <family val="3"/>
            <charset val="134"/>
          </rPr>
          <t>营业收入</t>
        </r>
        <r>
          <rPr>
            <sz val="9"/>
            <color indexed="81"/>
            <rFont val="Tahoma"/>
            <family val="2"/>
          </rPr>
          <t>×100%</t>
        </r>
      </text>
    </comment>
    <comment ref="G12" authorId="0" shapeId="0" xr:uid="{49DA1B0D-0773-4622-84AA-08601A052DD8}">
      <text>
        <r>
          <rPr>
            <b/>
            <sz val="9"/>
            <color indexed="81"/>
            <rFont val="宋体"/>
            <family val="3"/>
            <charset val="134"/>
          </rPr>
          <t>作者:</t>
        </r>
        <r>
          <rPr>
            <sz val="9"/>
            <color indexed="81"/>
            <rFont val="宋体"/>
            <family val="3"/>
            <charset val="134"/>
          </rPr>
          <t xml:space="preserve">
利润增长率＝（本年利润总额－上年利润总额）</t>
        </r>
        <r>
          <rPr>
            <sz val="9"/>
            <color indexed="81"/>
            <rFont val="Tahoma"/>
            <family val="2"/>
          </rPr>
          <t>/</t>
        </r>
        <r>
          <rPr>
            <sz val="9"/>
            <color indexed="81"/>
            <rFont val="宋体"/>
            <family val="3"/>
            <charset val="134"/>
          </rPr>
          <t>上年利润总额</t>
        </r>
        <r>
          <rPr>
            <sz val="9"/>
            <color indexed="81"/>
            <rFont val="Tahoma"/>
            <family val="2"/>
          </rPr>
          <t>×100%</t>
        </r>
      </text>
    </comment>
    <comment ref="H12" authorId="0" shapeId="0" xr:uid="{8A7D0913-48B9-4296-BE05-E91CDB26E996}">
      <text>
        <r>
          <rPr>
            <b/>
            <sz val="9"/>
            <color indexed="81"/>
            <rFont val="宋体"/>
            <family val="3"/>
            <charset val="134"/>
          </rPr>
          <t>作者:</t>
        </r>
        <r>
          <rPr>
            <sz val="9"/>
            <color indexed="81"/>
            <rFont val="宋体"/>
            <family val="3"/>
            <charset val="134"/>
          </rPr>
          <t xml:space="preserve">
不良贷款率</t>
        </r>
        <r>
          <rPr>
            <sz val="9"/>
            <color indexed="81"/>
            <rFont val="Tahoma"/>
            <family val="2"/>
          </rPr>
          <t>=</t>
        </r>
        <r>
          <rPr>
            <sz val="9"/>
            <color indexed="81"/>
            <rFont val="宋体"/>
            <family val="3"/>
            <charset val="134"/>
          </rPr>
          <t>（次级类贷款＋可疑类贷款＋损失类贷款）</t>
        </r>
        <r>
          <rPr>
            <sz val="9"/>
            <color indexed="81"/>
            <rFont val="Tahoma"/>
            <family val="2"/>
          </rPr>
          <t>/</t>
        </r>
        <r>
          <rPr>
            <sz val="9"/>
            <color indexed="81"/>
            <rFont val="宋体"/>
            <family val="3"/>
            <charset val="134"/>
          </rPr>
          <t>各类贷款余额</t>
        </r>
        <r>
          <rPr>
            <sz val="9"/>
            <color indexed="81"/>
            <rFont val="Tahoma"/>
            <family val="2"/>
          </rPr>
          <t>×100%</t>
        </r>
      </text>
    </comment>
    <comment ref="I12" authorId="0" shapeId="0" xr:uid="{45A96223-5FDA-4454-BFEF-31D4475492B2}">
      <text>
        <r>
          <rPr>
            <b/>
            <sz val="9"/>
            <color indexed="81"/>
            <rFont val="宋体"/>
            <family val="3"/>
            <charset val="134"/>
          </rPr>
          <t>作者:</t>
        </r>
        <r>
          <rPr>
            <sz val="9"/>
            <color indexed="81"/>
            <rFont val="宋体"/>
            <family val="3"/>
            <charset val="134"/>
          </rPr>
          <t xml:space="preserve">
拨备覆盖率</t>
        </r>
        <r>
          <rPr>
            <sz val="9"/>
            <color indexed="81"/>
            <rFont val="Tahoma"/>
            <family val="2"/>
          </rPr>
          <t>=</t>
        </r>
        <r>
          <rPr>
            <sz val="9"/>
            <color indexed="81"/>
            <rFont val="宋体"/>
            <family val="3"/>
            <charset val="134"/>
          </rPr>
          <t>贷款减值准备</t>
        </r>
        <r>
          <rPr>
            <sz val="9"/>
            <color indexed="81"/>
            <rFont val="Tahoma"/>
            <family val="2"/>
          </rPr>
          <t>/</t>
        </r>
        <r>
          <rPr>
            <sz val="9"/>
            <color indexed="81"/>
            <rFont val="宋体"/>
            <family val="3"/>
            <charset val="134"/>
          </rPr>
          <t>（次级类贷款＋可疑类贷款＋损失类贷款）</t>
        </r>
        <r>
          <rPr>
            <sz val="9"/>
            <color indexed="81"/>
            <rFont val="Tahoma"/>
            <family val="2"/>
          </rPr>
          <t>×100%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J35" authorId="0" shapeId="0" xr:uid="{2852F24E-583A-4F8C-A790-48A56BBEA4F6}">
      <text>
        <r>
          <rPr>
            <b/>
            <sz val="9"/>
            <rFont val="宋体"/>
            <family val="3"/>
            <charset val="134"/>
          </rPr>
          <t>作者:</t>
        </r>
        <r>
          <rPr>
            <sz val="9"/>
            <rFont val="宋体"/>
            <family val="3"/>
            <charset val="134"/>
          </rPr>
          <t xml:space="preserve">
资本利润率（净资产收益率）</t>
        </r>
        <r>
          <rPr>
            <sz val="9"/>
            <rFont val="Tahoma"/>
            <family val="2"/>
          </rPr>
          <t>=</t>
        </r>
        <r>
          <rPr>
            <sz val="9"/>
            <rFont val="宋体"/>
            <family val="3"/>
            <charset val="134"/>
          </rPr>
          <t>净利润</t>
        </r>
        <r>
          <rPr>
            <sz val="9"/>
            <rFont val="Tahoma"/>
            <family val="2"/>
          </rPr>
          <t>/</t>
        </r>
        <r>
          <rPr>
            <sz val="9"/>
            <rFont val="宋体"/>
            <family val="3"/>
            <charset val="134"/>
          </rPr>
          <t>净资产平均余额</t>
        </r>
        <r>
          <rPr>
            <sz val="9"/>
            <rFont val="Tahoma"/>
            <family val="2"/>
          </rPr>
          <t>×100%</t>
        </r>
      </text>
    </comment>
    <comment ref="J36" authorId="0" shapeId="0" xr:uid="{2A5B8B79-15C5-4E7D-8270-D29D6F9BDC4C}">
      <text>
        <r>
          <rPr>
            <b/>
            <sz val="9"/>
            <rFont val="宋体"/>
            <family val="3"/>
            <charset val="134"/>
          </rPr>
          <t>作者:</t>
        </r>
        <r>
          <rPr>
            <sz val="9"/>
            <rFont val="宋体"/>
            <family val="3"/>
            <charset val="134"/>
          </rPr>
          <t xml:space="preserve">
资产利润率（总资产报酬率）</t>
        </r>
        <r>
          <rPr>
            <sz val="9"/>
            <rFont val="Tahoma"/>
            <family val="2"/>
          </rPr>
          <t>=</t>
        </r>
        <r>
          <rPr>
            <sz val="9"/>
            <rFont val="宋体"/>
            <family val="3"/>
            <charset val="134"/>
          </rPr>
          <t>利润总额</t>
        </r>
        <r>
          <rPr>
            <sz val="9"/>
            <rFont val="Tahoma"/>
            <family val="2"/>
          </rPr>
          <t>/</t>
        </r>
        <r>
          <rPr>
            <sz val="9"/>
            <rFont val="宋体"/>
            <family val="3"/>
            <charset val="134"/>
          </rPr>
          <t>资产平均总额</t>
        </r>
      </text>
    </comment>
    <comment ref="J37" authorId="0" shapeId="0" xr:uid="{AE4D878F-43D3-4C6A-A41F-A6B6E8555162}">
      <text>
        <r>
          <rPr>
            <b/>
            <sz val="9"/>
            <rFont val="宋体"/>
            <family val="3"/>
            <charset val="134"/>
          </rPr>
          <t>作者:</t>
        </r>
        <r>
          <rPr>
            <sz val="9"/>
            <rFont val="宋体"/>
            <family val="3"/>
            <charset val="134"/>
          </rPr>
          <t xml:space="preserve">
成本收入比＝营业费用</t>
        </r>
        <r>
          <rPr>
            <sz val="9"/>
            <rFont val="Tahoma"/>
            <family val="2"/>
          </rPr>
          <t>/</t>
        </r>
        <r>
          <rPr>
            <sz val="9"/>
            <rFont val="宋体"/>
            <family val="3"/>
            <charset val="134"/>
          </rPr>
          <t>营业收入</t>
        </r>
        <r>
          <rPr>
            <sz val="9"/>
            <rFont val="Tahoma"/>
            <family val="2"/>
          </rPr>
          <t>×100%</t>
        </r>
      </text>
    </comment>
    <comment ref="J38" authorId="0" shapeId="0" xr:uid="{DDE6ACAB-9ECB-4A3E-ABA4-C38071B991DD}">
      <text>
        <r>
          <rPr>
            <b/>
            <sz val="9"/>
            <rFont val="宋体"/>
            <family val="3"/>
            <charset val="134"/>
          </rPr>
          <t>作者:</t>
        </r>
        <r>
          <rPr>
            <sz val="9"/>
            <rFont val="宋体"/>
            <family val="3"/>
            <charset val="134"/>
          </rPr>
          <t xml:space="preserve">
利润增长率＝（本年利润总额－上年利润总额）</t>
        </r>
        <r>
          <rPr>
            <sz val="9"/>
            <rFont val="Tahoma"/>
            <family val="2"/>
          </rPr>
          <t>/</t>
        </r>
        <r>
          <rPr>
            <sz val="9"/>
            <rFont val="宋体"/>
            <family val="3"/>
            <charset val="134"/>
          </rPr>
          <t>上年利润总额</t>
        </r>
        <r>
          <rPr>
            <sz val="9"/>
            <rFont val="Tahoma"/>
            <family val="2"/>
          </rPr>
          <t>×100%</t>
        </r>
      </text>
    </comment>
    <comment ref="J39" authorId="0" shapeId="0" xr:uid="{36A1A4BF-DE25-4BE3-A60D-5C9A0EA957A5}">
      <text>
        <r>
          <rPr>
            <b/>
            <sz val="9"/>
            <rFont val="宋体"/>
            <family val="3"/>
            <charset val="134"/>
          </rPr>
          <t>作者:</t>
        </r>
        <r>
          <rPr>
            <sz val="9"/>
            <rFont val="宋体"/>
            <family val="3"/>
            <charset val="134"/>
          </rPr>
          <t xml:space="preserve">
不良贷款率</t>
        </r>
        <r>
          <rPr>
            <sz val="9"/>
            <rFont val="Tahoma"/>
            <family val="2"/>
          </rPr>
          <t>=</t>
        </r>
        <r>
          <rPr>
            <sz val="9"/>
            <rFont val="宋体"/>
            <family val="3"/>
            <charset val="134"/>
          </rPr>
          <t>（次级类贷款＋可疑类贷款＋损失类贷款）</t>
        </r>
        <r>
          <rPr>
            <sz val="9"/>
            <rFont val="Tahoma"/>
            <family val="2"/>
          </rPr>
          <t>/</t>
        </r>
        <r>
          <rPr>
            <sz val="9"/>
            <rFont val="宋体"/>
            <family val="3"/>
            <charset val="134"/>
          </rPr>
          <t>各类贷款余额</t>
        </r>
        <r>
          <rPr>
            <sz val="9"/>
            <rFont val="Tahoma"/>
            <family val="2"/>
          </rPr>
          <t>×100%</t>
        </r>
      </text>
    </comment>
    <comment ref="J40" authorId="0" shapeId="0" xr:uid="{ECDBE1C8-DCEF-471B-BA32-D53CABB62078}">
      <text>
        <r>
          <rPr>
            <b/>
            <sz val="9"/>
            <rFont val="宋体"/>
            <family val="3"/>
            <charset val="134"/>
          </rPr>
          <t>作者:</t>
        </r>
        <r>
          <rPr>
            <sz val="9"/>
            <rFont val="宋体"/>
            <family val="3"/>
            <charset val="134"/>
          </rPr>
          <t xml:space="preserve">
拨备覆盖率</t>
        </r>
        <r>
          <rPr>
            <sz val="9"/>
            <rFont val="Tahoma"/>
            <family val="2"/>
          </rPr>
          <t>=</t>
        </r>
        <r>
          <rPr>
            <sz val="9"/>
            <rFont val="宋体"/>
            <family val="3"/>
            <charset val="134"/>
          </rPr>
          <t>贷款减值准备</t>
        </r>
        <r>
          <rPr>
            <sz val="9"/>
            <rFont val="Tahoma"/>
            <family val="2"/>
          </rPr>
          <t>/</t>
        </r>
        <r>
          <rPr>
            <sz val="9"/>
            <rFont val="宋体"/>
            <family val="3"/>
            <charset val="134"/>
          </rPr>
          <t>（次级类贷款＋可疑类贷款＋损失类贷款）</t>
        </r>
        <r>
          <rPr>
            <sz val="9"/>
            <rFont val="Tahoma"/>
            <family val="2"/>
          </rPr>
          <t>×100%</t>
        </r>
      </text>
    </comment>
  </commentList>
</comments>
</file>

<file path=xl/sharedStrings.xml><?xml version="1.0" encoding="utf-8"?>
<sst xmlns="http://schemas.openxmlformats.org/spreadsheetml/2006/main" count="2954" uniqueCount="1268">
  <si>
    <t>PB</t>
    <phoneticPr fontId="2" type="noConversion"/>
  </si>
  <si>
    <t>货币资金</t>
  </si>
  <si>
    <t>交易性金融资产</t>
  </si>
  <si>
    <t>买入返售金融资产</t>
  </si>
  <si>
    <t>应收利息</t>
  </si>
  <si>
    <t>定期存款</t>
  </si>
  <si>
    <t>可供出售金融资产</t>
  </si>
  <si>
    <t>应收款项投资</t>
  </si>
  <si>
    <t>投资性房地产</t>
  </si>
  <si>
    <t>固定资产</t>
  </si>
  <si>
    <t>无形资产</t>
  </si>
  <si>
    <t>其他资产</t>
  </si>
  <si>
    <t>资产总计</t>
  </si>
  <si>
    <t>应付职工薪酬</t>
  </si>
  <si>
    <t>应交税费</t>
  </si>
  <si>
    <t>递延所得税负债</t>
  </si>
  <si>
    <t>其他负债</t>
  </si>
  <si>
    <t>负债合计</t>
  </si>
  <si>
    <t>股东权益</t>
  </si>
  <si>
    <t>股本</t>
  </si>
  <si>
    <t>资本公积</t>
  </si>
  <si>
    <t>盈余公积</t>
  </si>
  <si>
    <t>一般风险准备</t>
  </si>
  <si>
    <t>未分配利润</t>
  </si>
  <si>
    <t>股东权益合计</t>
  </si>
  <si>
    <t>母公司资产负债表</t>
    <phoneticPr fontId="6" type="noConversion"/>
  </si>
  <si>
    <t>-</t>
  </si>
  <si>
    <t>长期股权投资</t>
  </si>
  <si>
    <t>负债及所有者权益</t>
  </si>
  <si>
    <t>负债</t>
  </si>
  <si>
    <t>卖出回购金融资产款</t>
  </si>
  <si>
    <t>一、营业收入</t>
  </si>
  <si>
    <t>投资收益</t>
  </si>
  <si>
    <t>公允价值变动收益/(损失)</t>
  </si>
  <si>
    <t>其他业务收入</t>
  </si>
  <si>
    <t>二、营业支出</t>
  </si>
  <si>
    <t>营业税金及附加</t>
  </si>
  <si>
    <t>业务及管理费</t>
  </si>
  <si>
    <t>其他业务成本</t>
  </si>
  <si>
    <t>三、营业利润</t>
  </si>
  <si>
    <t>加：营业外收入</t>
  </si>
  <si>
    <t>减：营业外支出</t>
  </si>
  <si>
    <t>四、利润总额</t>
  </si>
  <si>
    <t>减：所得税费用</t>
  </si>
  <si>
    <t>五、净利润</t>
  </si>
  <si>
    <t>七、综合收益总额</t>
  </si>
  <si>
    <t>利润表</t>
    <phoneticPr fontId="6" type="noConversion"/>
  </si>
  <si>
    <t>汇兑损失</t>
  </si>
  <si>
    <t>六、其他综合损失</t>
  </si>
  <si>
    <t/>
  </si>
  <si>
    <t>roe</t>
    <phoneticPr fontId="2" type="noConversion"/>
  </si>
  <si>
    <t>roa</t>
    <phoneticPr fontId="2" type="noConversion"/>
  </si>
  <si>
    <r>
      <rPr>
        <sz val="10"/>
        <color theme="1"/>
        <rFont val="宋体"/>
        <family val="3"/>
        <charset val="134"/>
      </rPr>
      <t>证券简称</t>
    </r>
  </si>
  <si>
    <r>
      <rPr>
        <sz val="10"/>
        <color theme="1"/>
        <rFont val="宋体"/>
        <family val="2"/>
        <charset val="134"/>
      </rPr>
      <t>证券代码</t>
    </r>
  </si>
  <si>
    <r>
      <rPr>
        <sz val="10"/>
        <color theme="1"/>
        <rFont val="宋体"/>
        <family val="3"/>
        <charset val="134"/>
      </rPr>
      <t>营业利润率</t>
    </r>
    <phoneticPr fontId="2" type="noConversion"/>
  </si>
  <si>
    <t>PB</t>
    <phoneticPr fontId="2" type="noConversion"/>
  </si>
  <si>
    <t>序号</t>
  </si>
  <si>
    <t>报表类型</t>
  </si>
  <si>
    <t>所有者权益(或股东权益)：</t>
  </si>
  <si>
    <t>证券代码</t>
  </si>
  <si>
    <r>
      <rPr>
        <sz val="10"/>
        <color theme="1"/>
        <rFont val="宋体"/>
        <family val="2"/>
        <charset val="134"/>
      </rPr>
      <t>股数</t>
    </r>
    <phoneticPr fontId="2" type="noConversion"/>
  </si>
  <si>
    <r>
      <rPr>
        <sz val="10"/>
        <color theme="1"/>
        <rFont val="宋体"/>
        <family val="2"/>
        <charset val="134"/>
      </rPr>
      <t>万股</t>
    </r>
    <phoneticPr fontId="2" type="noConversion"/>
  </si>
  <si>
    <r>
      <rPr>
        <sz val="10"/>
        <color theme="1"/>
        <rFont val="宋体"/>
        <family val="2"/>
        <charset val="134"/>
      </rPr>
      <t>股东权益合计</t>
    </r>
    <phoneticPr fontId="2" type="noConversion"/>
  </si>
  <si>
    <r>
      <rPr>
        <sz val="10"/>
        <color theme="1"/>
        <rFont val="宋体"/>
        <family val="2"/>
        <charset val="134"/>
      </rPr>
      <t>万元</t>
    </r>
    <phoneticPr fontId="2" type="noConversion"/>
  </si>
  <si>
    <r>
      <rPr>
        <sz val="10"/>
        <color theme="1"/>
        <rFont val="宋体"/>
        <family val="2"/>
        <charset val="134"/>
      </rPr>
      <t>归属母公司股东权益</t>
    </r>
    <phoneticPr fontId="2" type="noConversion"/>
  </si>
  <si>
    <r>
      <rPr>
        <sz val="10"/>
        <color theme="1"/>
        <rFont val="宋体"/>
        <family val="2"/>
        <charset val="134"/>
      </rPr>
      <t>增值率</t>
    </r>
    <phoneticPr fontId="2" type="noConversion"/>
  </si>
  <si>
    <r>
      <rPr>
        <sz val="10"/>
        <color theme="1"/>
        <rFont val="宋体"/>
        <family val="2"/>
        <charset val="134"/>
      </rPr>
      <t>元</t>
    </r>
    <r>
      <rPr>
        <sz val="10"/>
        <color theme="1"/>
        <rFont val="Times New Roman"/>
        <family val="1"/>
      </rPr>
      <t>/</t>
    </r>
    <r>
      <rPr>
        <sz val="10"/>
        <color theme="1"/>
        <rFont val="宋体"/>
        <family val="2"/>
        <charset val="134"/>
      </rPr>
      <t>股</t>
    </r>
    <phoneticPr fontId="2" type="noConversion"/>
  </si>
  <si>
    <r>
      <rPr>
        <b/>
        <sz val="10"/>
        <color theme="1"/>
        <rFont val="宋体"/>
        <family val="2"/>
        <charset val="134"/>
      </rPr>
      <t>平均值</t>
    </r>
    <phoneticPr fontId="2" type="noConversion"/>
  </si>
  <si>
    <r>
      <rPr>
        <b/>
        <sz val="10"/>
        <color theme="1"/>
        <rFont val="宋体"/>
        <family val="2"/>
        <charset val="134"/>
      </rPr>
      <t>序号</t>
    </r>
    <r>
      <rPr>
        <b/>
        <sz val="10"/>
        <color theme="1"/>
        <rFont val="Times New Roman"/>
        <family val="1"/>
      </rPr>
      <t xml:space="preserve"> </t>
    </r>
    <phoneticPr fontId="2" type="noConversion"/>
  </si>
  <si>
    <r>
      <rPr>
        <b/>
        <sz val="10"/>
        <color theme="1"/>
        <rFont val="宋体"/>
        <family val="2"/>
        <charset val="134"/>
      </rPr>
      <t>交易案例</t>
    </r>
    <phoneticPr fontId="2" type="noConversion"/>
  </si>
  <si>
    <r>
      <rPr>
        <b/>
        <sz val="10"/>
        <color theme="1"/>
        <rFont val="宋体"/>
        <family val="2"/>
        <charset val="134"/>
      </rPr>
      <t>上市公司比较</t>
    </r>
    <phoneticPr fontId="2" type="noConversion"/>
  </si>
  <si>
    <r>
      <t>1980</t>
    </r>
    <r>
      <rPr>
        <sz val="10"/>
        <color theme="1"/>
        <rFont val="宋体"/>
        <family val="3"/>
        <charset val="134"/>
      </rPr>
      <t>万股权益</t>
    </r>
    <phoneticPr fontId="2" type="noConversion"/>
  </si>
  <si>
    <t>万元</t>
    <phoneticPr fontId="2" type="noConversion"/>
  </si>
  <si>
    <t>证券名称</t>
  </si>
  <si>
    <t>缺少流通折扣率</t>
    <phoneticPr fontId="6" type="noConversion"/>
  </si>
  <si>
    <t>市盈率平均值</t>
    <phoneticPr fontId="6" type="noConversion"/>
  </si>
  <si>
    <t>净资产</t>
    <phoneticPr fontId="2" type="noConversion"/>
  </si>
  <si>
    <t>证券代号</t>
  </si>
  <si>
    <t>收购方</t>
  </si>
  <si>
    <t>被收购方</t>
  </si>
  <si>
    <t>出售时间</t>
  </si>
  <si>
    <t>出让价格（评估值）（万元）</t>
  </si>
  <si>
    <t>净资产（万元）</t>
  </si>
  <si>
    <t>PB</t>
  </si>
  <si>
    <t>近期股权交易案例</t>
    <phoneticPr fontId="2" type="noConversion"/>
  </si>
  <si>
    <t>出让方式</t>
    <phoneticPr fontId="2" type="noConversion"/>
  </si>
  <si>
    <t>平均值</t>
    <phoneticPr fontId="2" type="noConversion"/>
  </si>
  <si>
    <t>比较指标</t>
    <phoneticPr fontId="2" type="noConversion"/>
  </si>
  <si>
    <t>取值</t>
    <phoneticPr fontId="2" type="noConversion"/>
  </si>
  <si>
    <t>股东全部权益价值</t>
    <phoneticPr fontId="2" type="noConversion"/>
  </si>
  <si>
    <t>单位：万元人民币</t>
    <phoneticPr fontId="6" type="noConversion"/>
  </si>
  <si>
    <t>2016-12-31</t>
  </si>
  <si>
    <t>报告期</t>
  </si>
  <si>
    <t>年报</t>
  </si>
  <si>
    <t>三季报</t>
  </si>
  <si>
    <t>合并报表</t>
  </si>
  <si>
    <t>流动资产：</t>
  </si>
  <si>
    <t>　　货币资金</t>
  </si>
  <si>
    <t>　　交易性金融资产</t>
  </si>
  <si>
    <t>　　衍生金融资产</t>
  </si>
  <si>
    <t>　　应收票据</t>
  </si>
  <si>
    <t>　　应收账款</t>
  </si>
  <si>
    <t>　　预付款项</t>
  </si>
  <si>
    <t>　　应收利息</t>
  </si>
  <si>
    <t>　　其他应收款</t>
  </si>
  <si>
    <t>　　应收股利</t>
  </si>
  <si>
    <t>　　买入返售金融资产</t>
  </si>
  <si>
    <t>　　存货</t>
  </si>
  <si>
    <t>　　其中：消耗性生物资产</t>
  </si>
  <si>
    <t>　　划分为持有待售的资产</t>
  </si>
  <si>
    <t>　　一年内到期的非流动资产</t>
  </si>
  <si>
    <t>　　待摊费用</t>
  </si>
  <si>
    <t>　　其他流动资产</t>
  </si>
  <si>
    <t>　　其他金融类流动资产</t>
  </si>
  <si>
    <t>　　流动资产差额(特殊报表科目)</t>
  </si>
  <si>
    <t>　　流动资产差额(合计平衡项目)</t>
  </si>
  <si>
    <t>　　流动资产合计</t>
  </si>
  <si>
    <t>非流动资产：</t>
  </si>
  <si>
    <t>　　发放贷款及垫款</t>
  </si>
  <si>
    <t>　　可供出售金融资产</t>
  </si>
  <si>
    <t>　　持有至到期投资</t>
  </si>
  <si>
    <t>　　长期应收款</t>
  </si>
  <si>
    <t>　　长期股权投资</t>
  </si>
  <si>
    <t>　　投资性房地产</t>
  </si>
  <si>
    <t>　　固定资产</t>
  </si>
  <si>
    <t>　　在建工程</t>
  </si>
  <si>
    <t>　　工程物资</t>
  </si>
  <si>
    <t>　　固定资产清理</t>
  </si>
  <si>
    <t>　　生产性生物资产</t>
  </si>
  <si>
    <t>　　油气资产</t>
  </si>
  <si>
    <t>　　无形资产</t>
  </si>
  <si>
    <t>　　开发支出</t>
  </si>
  <si>
    <t>　　商誉</t>
  </si>
  <si>
    <t>　　长期待摊费用</t>
  </si>
  <si>
    <t>　　递延所得税资产</t>
  </si>
  <si>
    <t>　　其他非流动资产</t>
  </si>
  <si>
    <t>　　非流动资产差额(特殊报表科目)</t>
  </si>
  <si>
    <t>　　非流动资产差额(合计平衡项目)</t>
  </si>
  <si>
    <t>　　非流动资产合计</t>
  </si>
  <si>
    <t>资产差额(特殊报表科目)</t>
  </si>
  <si>
    <t>资产差额(合计平衡项目)</t>
  </si>
  <si>
    <t>流动负债：</t>
  </si>
  <si>
    <t>　　短期借款</t>
  </si>
  <si>
    <t>　　交易性金融负债</t>
  </si>
  <si>
    <t>　　衍生金融负债</t>
  </si>
  <si>
    <t>　　应付票据</t>
  </si>
  <si>
    <t>　　应付账款</t>
  </si>
  <si>
    <t>　　预收款项</t>
  </si>
  <si>
    <t>　　应付职工薪酬</t>
  </si>
  <si>
    <t>　　应交税费</t>
  </si>
  <si>
    <t>　　应付利息</t>
  </si>
  <si>
    <t>　　应付股利</t>
  </si>
  <si>
    <t>　　其他应付款</t>
  </si>
  <si>
    <t>　　划分为持有待售的负债</t>
  </si>
  <si>
    <t>　　一年内到期的非流动负债</t>
  </si>
  <si>
    <t>　　预提费用</t>
  </si>
  <si>
    <t>　　递延收益-流动负债</t>
  </si>
  <si>
    <t>　　应付短期债券</t>
  </si>
  <si>
    <t>　　其他流动负债</t>
  </si>
  <si>
    <t>　　其他金融类流动负债</t>
  </si>
  <si>
    <t>　　流动负债差额(特殊报表科目)</t>
  </si>
  <si>
    <t>　　流动负债差额(合计平衡项目)</t>
  </si>
  <si>
    <t>　　流动负债合计</t>
  </si>
  <si>
    <t>非流动负债：</t>
  </si>
  <si>
    <t>　　长期借款</t>
  </si>
  <si>
    <t>　　应付债券</t>
  </si>
  <si>
    <t>　　长期应付款</t>
  </si>
  <si>
    <t>　　长期应付职工薪酬</t>
  </si>
  <si>
    <t>　　专项应付款</t>
  </si>
  <si>
    <t>　　预计负债</t>
  </si>
  <si>
    <t>　　递延所得税负债</t>
  </si>
  <si>
    <t>　　递延收益-非流动负债</t>
  </si>
  <si>
    <t>　　其他非流动负债</t>
  </si>
  <si>
    <t>　　非流动负债差额(特殊报表科目)</t>
  </si>
  <si>
    <t>　　非流动负债差额(合计平衡项目)</t>
  </si>
  <si>
    <t>　　非流动负债合计</t>
  </si>
  <si>
    <t>　　负债差额(特殊报表科目)</t>
  </si>
  <si>
    <t>　　负债差额(合计平衡项目)</t>
  </si>
  <si>
    <t>　　负债合计</t>
  </si>
  <si>
    <t>　　实收资本(或股本)</t>
  </si>
  <si>
    <t>　　其它权益工具</t>
  </si>
  <si>
    <t>　　　　其它权益工具：优先股</t>
  </si>
  <si>
    <t>　　资本公积金</t>
  </si>
  <si>
    <t>　　减：库存股</t>
  </si>
  <si>
    <t>　　其它综合收益</t>
  </si>
  <si>
    <t>　　专项储备</t>
  </si>
  <si>
    <t>　　盈余公积金</t>
  </si>
  <si>
    <t>　　一般风险准备</t>
  </si>
  <si>
    <t>　　未分配利润</t>
  </si>
  <si>
    <t>　　外币报表折算差额</t>
  </si>
  <si>
    <t>　　未确认的投资损失</t>
  </si>
  <si>
    <t>　　股东权益差额(特殊报表科目)</t>
  </si>
  <si>
    <t>　　股权权益差额(合计平衡项目)</t>
  </si>
  <si>
    <t>　　归属于母公司所有者权益合计</t>
  </si>
  <si>
    <t>　　少数股东权益</t>
  </si>
  <si>
    <t>　　所有者权益合计</t>
  </si>
  <si>
    <t>负债及股东权益差额(特殊报表项目)</t>
  </si>
  <si>
    <t>负债及股东权益差额(合计平衡项目)</t>
  </si>
  <si>
    <t>负债和所有者权益总计</t>
  </si>
  <si>
    <t>数据来源：Wind</t>
  </si>
  <si>
    <t>单位：人民币</t>
    <phoneticPr fontId="6" type="noConversion"/>
  </si>
  <si>
    <t>营业总收入</t>
  </si>
  <si>
    <t>　　营业收入</t>
  </si>
  <si>
    <t>　　其他类金融业务收入</t>
  </si>
  <si>
    <t>营业总成本</t>
  </si>
  <si>
    <t>　　营业成本</t>
  </si>
  <si>
    <t>　　税金及附加</t>
  </si>
  <si>
    <t>　　销售费用</t>
  </si>
  <si>
    <t>　　管理费用</t>
  </si>
  <si>
    <t>　　财务费用</t>
  </si>
  <si>
    <t>　　资产减值损失</t>
  </si>
  <si>
    <t>其他经营收益</t>
  </si>
  <si>
    <t>　　公允价值变动净收益</t>
  </si>
  <si>
    <t>　　投资净收益</t>
  </si>
  <si>
    <t>　　　　其中：对联营企业和合营企业的投资收益</t>
  </si>
  <si>
    <t>　　汇兑净收益</t>
  </si>
  <si>
    <t>资产处置收益</t>
  </si>
  <si>
    <t>　　其他收益</t>
  </si>
  <si>
    <t>　　加：营业利润差额(特殊报表科目)</t>
  </si>
  <si>
    <t>　　　　营业利润差额(合计平衡项目)</t>
  </si>
  <si>
    <t>营业利润</t>
  </si>
  <si>
    <t>　　加：营业外收入</t>
  </si>
  <si>
    <t>　　减：营业外支出</t>
  </si>
  <si>
    <t>　　　　其中：非流动资产处置净损失</t>
  </si>
  <si>
    <t>　　加：利润总额差额(特殊报表科目)</t>
  </si>
  <si>
    <t>　　　　利润总额差额(合计平衡项目)</t>
  </si>
  <si>
    <t>利润总额</t>
  </si>
  <si>
    <t>　　减：所得税</t>
  </si>
  <si>
    <t>　　加：未确认的投资损失</t>
  </si>
  <si>
    <t>　　加：净利润差额(特殊报表科目)</t>
  </si>
  <si>
    <t>　　　　净利润差额(合计平衡项目)</t>
  </si>
  <si>
    <t>净利润</t>
  </si>
  <si>
    <t>持续经营净利润</t>
  </si>
  <si>
    <t>终止经营净利润</t>
  </si>
  <si>
    <t>　　减：少数股东损益</t>
  </si>
  <si>
    <t>　　归属于母公司所有者的净利润</t>
  </si>
  <si>
    <t>　　加：其他综合收益</t>
  </si>
  <si>
    <t>综合收益总额</t>
  </si>
  <si>
    <t>　　减：归属于少数股东的综合收益总额</t>
  </si>
  <si>
    <t>　　归属于母公司普通股东综合收益总额</t>
  </si>
  <si>
    <t>每股收益：</t>
  </si>
  <si>
    <t>　　基本每股收益</t>
  </si>
  <si>
    <t>　　稀释每股收益</t>
  </si>
  <si>
    <t>单位：万元</t>
    <phoneticPr fontId="6" type="noConversion"/>
  </si>
  <si>
    <t>流动资产周转率（次）</t>
  </si>
  <si>
    <t>应收款项周转率（次）</t>
    <phoneticPr fontId="6" type="noConversion"/>
  </si>
  <si>
    <r>
      <t>资产负债率（</t>
    </r>
    <r>
      <rPr>
        <sz val="10"/>
        <rFont val="Times New Roman"/>
        <family val="1"/>
      </rPr>
      <t>%</t>
    </r>
    <r>
      <rPr>
        <sz val="10"/>
        <rFont val="宋体"/>
        <family val="3"/>
        <charset val="134"/>
      </rPr>
      <t>）</t>
    </r>
  </si>
  <si>
    <t>已获利息倍数</t>
    <phoneticPr fontId="6" type="noConversion"/>
  </si>
  <si>
    <r>
      <t>速动比率（</t>
    </r>
    <r>
      <rPr>
        <sz val="10"/>
        <rFont val="Times New Roman"/>
        <family val="1"/>
      </rPr>
      <t>%</t>
    </r>
    <r>
      <rPr>
        <sz val="10"/>
        <rFont val="宋体"/>
        <family val="3"/>
        <charset val="134"/>
      </rPr>
      <t>）</t>
    </r>
  </si>
  <si>
    <r>
      <t>销售（营业）增长率（</t>
    </r>
    <r>
      <rPr>
        <sz val="10"/>
        <rFont val="Times New Roman"/>
        <family val="1"/>
      </rPr>
      <t>%</t>
    </r>
    <r>
      <rPr>
        <sz val="10"/>
        <rFont val="宋体"/>
        <family val="3"/>
        <charset val="134"/>
      </rPr>
      <t>）</t>
    </r>
    <phoneticPr fontId="6" type="noConversion"/>
  </si>
  <si>
    <r>
      <t>资本积累率（</t>
    </r>
    <r>
      <rPr>
        <sz val="10"/>
        <rFont val="Times New Roman"/>
        <family val="1"/>
      </rPr>
      <t>%</t>
    </r>
    <r>
      <rPr>
        <sz val="10"/>
        <rFont val="宋体"/>
        <family val="3"/>
        <charset val="134"/>
      </rPr>
      <t>）</t>
    </r>
    <phoneticPr fontId="6" type="noConversion"/>
  </si>
  <si>
    <t>平均值</t>
    <phoneticPr fontId="6" type="noConversion"/>
  </si>
  <si>
    <t>净资产收益率</t>
    <phoneticPr fontId="2" type="noConversion"/>
  </si>
  <si>
    <t>三年平均数</t>
    <phoneticPr fontId="2" type="noConversion"/>
  </si>
  <si>
    <t>总资产报酬率</t>
    <phoneticPr fontId="2" type="noConversion"/>
  </si>
  <si>
    <t>营业利润率</t>
    <phoneticPr fontId="2" type="noConversion"/>
  </si>
  <si>
    <t>应收款项周转率（次）</t>
    <phoneticPr fontId="6" type="noConversion"/>
  </si>
  <si>
    <t>总资产周转率（次）</t>
    <phoneticPr fontId="2" type="noConversion"/>
  </si>
  <si>
    <t>已获利息倍数</t>
    <phoneticPr fontId="6" type="noConversion"/>
  </si>
  <si>
    <r>
      <t>已获利息倍数=息税前利润总额/利息支出=EBIT/interest expense 或=(</t>
    </r>
    <r>
      <rPr>
        <u/>
        <sz val="11"/>
        <color theme="10"/>
        <rFont val="宋体"/>
        <family val="3"/>
        <charset val="134"/>
        <scheme val="minor"/>
      </rPr>
      <t>净利润+利息费用+所得税费用)/利息费用</t>
    </r>
  </si>
  <si>
    <t>营业利润率</t>
    <phoneticPr fontId="2" type="noConversion"/>
  </si>
  <si>
    <r>
      <t>销售（营业）利润增长率（</t>
    </r>
    <r>
      <rPr>
        <sz val="10"/>
        <rFont val="Times New Roman"/>
        <family val="1"/>
      </rPr>
      <t>%</t>
    </r>
    <r>
      <rPr>
        <sz val="10"/>
        <rFont val="宋体"/>
        <family val="3"/>
        <charset val="134"/>
      </rPr>
      <t>）</t>
    </r>
    <phoneticPr fontId="6" type="noConversion"/>
  </si>
  <si>
    <r>
      <t>销售（营业）增长率（</t>
    </r>
    <r>
      <rPr>
        <sz val="10"/>
        <rFont val="Times New Roman"/>
        <family val="1"/>
      </rPr>
      <t>%</t>
    </r>
    <r>
      <rPr>
        <sz val="10"/>
        <rFont val="宋体"/>
        <family val="3"/>
        <charset val="134"/>
      </rPr>
      <t>）</t>
    </r>
    <phoneticPr fontId="6" type="noConversion"/>
  </si>
  <si>
    <r>
      <t>资本积累率（</t>
    </r>
    <r>
      <rPr>
        <sz val="10"/>
        <rFont val="Times New Roman"/>
        <family val="1"/>
      </rPr>
      <t>%</t>
    </r>
    <r>
      <rPr>
        <sz val="10"/>
        <rFont val="宋体"/>
        <family val="3"/>
        <charset val="134"/>
      </rPr>
      <t>）</t>
    </r>
    <phoneticPr fontId="6" type="noConversion"/>
  </si>
  <si>
    <r>
      <t>销售（营业）利润增长率（</t>
    </r>
    <r>
      <rPr>
        <sz val="10"/>
        <rFont val="Times New Roman"/>
        <family val="1"/>
      </rPr>
      <t>%</t>
    </r>
    <r>
      <rPr>
        <sz val="10"/>
        <rFont val="宋体"/>
        <family val="3"/>
        <charset val="134"/>
      </rPr>
      <t>）</t>
    </r>
    <phoneticPr fontId="6" type="noConversion"/>
  </si>
  <si>
    <t>单位：人民币万元</t>
  </si>
  <si>
    <t>2017-12-31</t>
    <phoneticPr fontId="2" type="noConversion"/>
  </si>
  <si>
    <t>单位：万元人民币</t>
    <phoneticPr fontId="6" type="noConversion"/>
  </si>
  <si>
    <t>单位：万元人民币</t>
    <phoneticPr fontId="6" type="noConversion"/>
  </si>
  <si>
    <t>年报</t>
    <phoneticPr fontId="2" type="noConversion"/>
  </si>
  <si>
    <t>海航控股</t>
    <phoneticPr fontId="2" type="noConversion"/>
  </si>
  <si>
    <t>云南祥鹏</t>
    <phoneticPr fontId="2" type="noConversion"/>
  </si>
  <si>
    <t>股权收购</t>
    <phoneticPr fontId="2" type="noConversion"/>
  </si>
  <si>
    <t>天津航空</t>
    <phoneticPr fontId="2" type="noConversion"/>
  </si>
  <si>
    <t>山西航空</t>
    <phoneticPr fontId="2" type="noConversion"/>
  </si>
  <si>
    <t>长安航空</t>
    <phoneticPr fontId="2" type="noConversion"/>
  </si>
  <si>
    <t>增资扩股</t>
    <phoneticPr fontId="2" type="noConversion"/>
  </si>
  <si>
    <t>新华航空</t>
    <phoneticPr fontId="2" type="noConversion"/>
  </si>
  <si>
    <t>关联交易、股权收购</t>
    <phoneticPr fontId="2" type="noConversion"/>
  </si>
  <si>
    <r>
      <t>资产负债率（</t>
    </r>
    <r>
      <rPr>
        <sz val="10"/>
        <rFont val="Times New Roman"/>
        <family val="1"/>
      </rPr>
      <t>%</t>
    </r>
    <r>
      <rPr>
        <sz val="10"/>
        <rFont val="宋体"/>
        <family val="3"/>
        <charset val="134"/>
      </rPr>
      <t>）</t>
    </r>
    <phoneticPr fontId="2" type="noConversion"/>
  </si>
  <si>
    <r>
      <t>营业增长率（</t>
    </r>
    <r>
      <rPr>
        <sz val="10"/>
        <rFont val="Times New Roman"/>
        <family val="1"/>
      </rPr>
      <t>%</t>
    </r>
    <r>
      <rPr>
        <sz val="10"/>
        <rFont val="宋体"/>
        <family val="3"/>
        <charset val="134"/>
      </rPr>
      <t>）</t>
    </r>
    <phoneticPr fontId="6" type="noConversion"/>
  </si>
  <si>
    <r>
      <t>营业利润增长率（</t>
    </r>
    <r>
      <rPr>
        <sz val="10"/>
        <rFont val="Times New Roman"/>
        <family val="1"/>
      </rPr>
      <t>%</t>
    </r>
    <r>
      <rPr>
        <sz val="10"/>
        <rFont val="宋体"/>
        <family val="3"/>
        <charset val="134"/>
      </rPr>
      <t>）</t>
    </r>
    <phoneticPr fontId="6" type="noConversion"/>
  </si>
  <si>
    <t>市场法评估值</t>
    <phoneticPr fontId="2" type="noConversion"/>
  </si>
  <si>
    <t>市场法评估增值</t>
    <phoneticPr fontId="2" type="noConversion"/>
  </si>
  <si>
    <t>市场法增值率</t>
    <phoneticPr fontId="2" type="noConversion"/>
  </si>
  <si>
    <t>增值率</t>
    <phoneticPr fontId="2" type="noConversion"/>
  </si>
  <si>
    <t>增值率</t>
    <phoneticPr fontId="2" type="noConversion"/>
  </si>
  <si>
    <t>一般</t>
    <phoneticPr fontId="2" type="noConversion"/>
  </si>
  <si>
    <t>较低</t>
    <phoneticPr fontId="2" type="noConversion"/>
  </si>
  <si>
    <t>优秀</t>
    <phoneticPr fontId="2" type="noConversion"/>
  </si>
  <si>
    <t>较差</t>
    <phoneticPr fontId="2" type="noConversion"/>
  </si>
  <si>
    <t>良好</t>
    <phoneticPr fontId="2" type="noConversion"/>
  </si>
  <si>
    <t>中国新华航空集团有限公司</t>
    <phoneticPr fontId="2" type="noConversion"/>
  </si>
  <si>
    <t>2018-12-31</t>
    <phoneticPr fontId="2" type="noConversion"/>
  </si>
  <si>
    <t>评估方法</t>
    <phoneticPr fontId="2" type="noConversion"/>
  </si>
  <si>
    <t>收益法、市场法</t>
    <phoneticPr fontId="2" type="noConversion"/>
  </si>
  <si>
    <t>收益法</t>
    <phoneticPr fontId="2" type="noConversion"/>
  </si>
  <si>
    <t>西部航空有限责任公司</t>
    <phoneticPr fontId="2" type="noConversion"/>
  </si>
  <si>
    <t>成本法</t>
    <phoneticPr fontId="2" type="noConversion"/>
  </si>
  <si>
    <t>扬子江快运航空公司</t>
    <phoneticPr fontId="2" type="noConversion"/>
  </si>
  <si>
    <t>首航控股</t>
    <phoneticPr fontId="2" type="noConversion"/>
  </si>
  <si>
    <t>PS</t>
    <phoneticPr fontId="2" type="noConversion"/>
  </si>
  <si>
    <t xml:space="preserve">  应付票据及应付账款</t>
    <phoneticPr fontId="2" type="noConversion"/>
  </si>
  <si>
    <t xml:space="preserve">    应付票据及应付账款</t>
    <phoneticPr fontId="2" type="noConversion"/>
  </si>
  <si>
    <t>总资产</t>
    <phoneticPr fontId="2" type="noConversion"/>
  </si>
  <si>
    <t>负债</t>
    <phoneticPr fontId="2" type="noConversion"/>
  </si>
  <si>
    <t>营业收入</t>
    <phoneticPr fontId="2" type="noConversion"/>
  </si>
  <si>
    <t>利润总额</t>
    <phoneticPr fontId="2" type="noConversion"/>
  </si>
  <si>
    <t>净利润</t>
    <phoneticPr fontId="2" type="noConversion"/>
  </si>
  <si>
    <t>评估值</t>
    <phoneticPr fontId="2" type="noConversion"/>
  </si>
  <si>
    <t>市净率</t>
  </si>
  <si>
    <t>市销率</t>
  </si>
  <si>
    <t>评估基准日</t>
    <phoneticPr fontId="2" type="noConversion"/>
  </si>
  <si>
    <t>交易完成日期</t>
    <phoneticPr fontId="2" type="noConversion"/>
  </si>
  <si>
    <t>祥鹏航空是海航集团下属成员企业,公司注册地为云南省昆明市，运营基地为云南省昆明市、云南省丽江市，四川省成都市、四川省绵阳市、河南省郑州市。2006年2月26日，祥鹏航空顺利开航。2008年6月，云南省国资委与海航集团签署战略合作协议，双方共建祥鹏航空。2016年，祥鹏航空正式发布低成本战略转型，成为云南首家低成本航空公司。</t>
  </si>
  <si>
    <t>截至2018年10月，祥鹏航空机队规模达50架，在飞航线106条（包括91条国内航线、15条国际航线），通航城市81个（包括68个国内城市、13个国际城市）。目前，祥鹏航空在昆明市场占有率已达到12.28%，在丽江市场占有率13.54%，为云南省第二大基地航空。目前，祥鹏航空建立了以昆明为中心，连通全国一、二线及各大省会城市，辐射东南亚、东亚的立体航线网络。公司曾荣获中国最佳旅游供应商、消费者信赖企业、旅客话民航用户满意优质奖、中国最具发展潜力雇主、2016中国十佳特色航空公司、2016世界旅游大奖（WTA）亚洲国内领先航线奖等优秀称号。</t>
    <phoneticPr fontId="2" type="noConversion"/>
  </si>
  <si>
    <t>国内（含港澳台）、国际航空客货运输业务；货物进出口；保险兼业代理；礼品销售；景点及演出门票代售；酒店代订；汽车租赁；广告经营；食品经营；预包装食品批发零售。（依法须经批准的项目，经相关部门批准后方可开展经营活动）</t>
    <phoneticPr fontId="2" type="noConversion"/>
  </si>
  <si>
    <t>航空运输：由山西省始发至相邻省际间的支线航空客、货运输业务；航空运输客货代理；由山西省始发至国内部分城市的航空客、货运输业务；代购机票；代理报关；民用航空器维修；装潢设计；地貌模型制作；批发零售建材（不含林区木材）、百货、焦炭。</t>
  </si>
  <si>
    <t>海南航空控股股份有限公司（以下简称“海航控股”或“公司”）拟以 64,969.20万元、57,881.64 万元分别收购北京鸿瑞盛达商贸有限公司（以下简称“鸿瑞盛达”）、海航航空集团有限公司（以下简称“海航航空”）持有的公司控股子公司山西航空有限责任公司（以下简称“山西航空”）26.12%、23.27%股权。交易完成后，公司将持有山西航空 72.82%股权。</t>
  </si>
  <si>
    <t>金鹏航空</t>
    <phoneticPr fontId="2" type="noConversion"/>
  </si>
  <si>
    <t>修正系数</t>
    <phoneticPr fontId="2" type="noConversion"/>
  </si>
  <si>
    <r>
      <t>PB(</t>
    </r>
    <r>
      <rPr>
        <sz val="10"/>
        <color theme="1"/>
        <rFont val="宋体"/>
        <family val="3"/>
        <charset val="134"/>
      </rPr>
      <t>修正后</t>
    </r>
    <r>
      <rPr>
        <sz val="10"/>
        <color theme="1"/>
        <rFont val="Times New Roman"/>
        <family val="1"/>
      </rPr>
      <t>)</t>
    </r>
    <phoneticPr fontId="2" type="noConversion"/>
  </si>
  <si>
    <r>
      <t>PS(</t>
    </r>
    <r>
      <rPr>
        <sz val="10"/>
        <color theme="1"/>
        <rFont val="宋体"/>
        <family val="3"/>
        <charset val="134"/>
      </rPr>
      <t>修正后</t>
    </r>
    <r>
      <rPr>
        <sz val="10"/>
        <color theme="1"/>
        <rFont val="Times New Roman"/>
        <family val="1"/>
      </rPr>
      <t>)</t>
    </r>
    <phoneticPr fontId="2" type="noConversion"/>
  </si>
  <si>
    <t>海南航空控股股份有限公司（以下简称“海航控股”或“公司”）拟以 156,498.65万元人民币收购嘉兴兴晟海新投资合伙企业（有限合伙）（以下简称“嘉兴兴晟”）持有的公司控股子公司中国新华航空集团有限公司（以下简称“新华航空”）12.18%股权。交易完成后，公司将持有新华航空 73.92%股权。</t>
    <phoneticPr fontId="2" type="noConversion"/>
  </si>
  <si>
    <t>海航公布数据</t>
    <phoneticPr fontId="2" type="noConversion"/>
  </si>
  <si>
    <t>非经营性资产</t>
    <phoneticPr fontId="2" type="noConversion"/>
  </si>
  <si>
    <t>股权转让</t>
    <phoneticPr fontId="2" type="noConversion"/>
  </si>
  <si>
    <t>增资入股</t>
    <phoneticPr fontId="2" type="noConversion"/>
  </si>
  <si>
    <t>PB（修正）</t>
    <phoneticPr fontId="2" type="noConversion"/>
  </si>
  <si>
    <t>长安航旅拟以每股 2.087 元对长安航空进行增资。本次交易定价公允、合理。</t>
    <phoneticPr fontId="2" type="noConversion"/>
  </si>
  <si>
    <t>长安航旅</t>
    <phoneticPr fontId="2" type="noConversion"/>
  </si>
  <si>
    <t>序号</t>
    <phoneticPr fontId="2" type="noConversion"/>
  </si>
  <si>
    <t>国内国际</t>
    <phoneticPr fontId="2" type="noConversion"/>
  </si>
  <si>
    <t>山西省</t>
    <phoneticPr fontId="2" type="noConversion"/>
  </si>
  <si>
    <t>国内</t>
    <phoneticPr fontId="2" type="noConversion"/>
  </si>
  <si>
    <t>天津北京</t>
    <phoneticPr fontId="2" type="noConversion"/>
  </si>
  <si>
    <t>飞机数量</t>
    <phoneticPr fontId="2" type="noConversion"/>
  </si>
  <si>
    <t>航线情况</t>
    <phoneticPr fontId="2" type="noConversion"/>
  </si>
  <si>
    <t>初始价值比率</t>
    <phoneticPr fontId="2" type="noConversion"/>
  </si>
  <si>
    <t>比较因素条件说明表</t>
    <phoneticPr fontId="2" type="noConversion"/>
  </si>
  <si>
    <t>较低</t>
  </si>
  <si>
    <t>较差</t>
  </si>
  <si>
    <t>幸福航空控股有限公司</t>
    <phoneticPr fontId="2" type="noConversion"/>
  </si>
  <si>
    <t>西安航投</t>
    <phoneticPr fontId="2" type="noConversion"/>
  </si>
  <si>
    <t>幸福奥凯航空</t>
    <phoneticPr fontId="2" type="noConversion"/>
  </si>
  <si>
    <t>股权收购比例</t>
    <phoneticPr fontId="2" type="noConversion"/>
  </si>
  <si>
    <t>云南省国有资本运营有限公司向云南省交通投资建设集团有限公司转让祥鹏航空13.32%股权</t>
    <phoneticPr fontId="2" type="noConversion"/>
  </si>
  <si>
    <t>海航控股拟以 156,498.65万元人民币收购嘉兴兴晟海新投资合伙企业（有限合伙）（以下简称“嘉兴兴晟”）持有的公司控股子公司中国新华航空集团有限公司（以下简称“新华航空”）  12.18%股权。</t>
    <phoneticPr fontId="2" type="noConversion"/>
  </si>
  <si>
    <t>未考虑控股权溢价</t>
    <phoneticPr fontId="2" type="noConversion"/>
  </si>
  <si>
    <t>海南航空控股股份有限公司（以下简称“海航控股”或“公司”）拟以 64,969.20万元、57,881.64 万元分别收购北京鸿瑞盛达商贸有限公司（以下简称“鸿瑞盛达”）、海航航空集团有限公司（以下简称“海航航空”）持有的公司控股子公司山西航空有限责任公司（以下简称“山西航空”）26.12%、23.27%股权。交易完成后，公司将持有山西航空 72.82%股权。</t>
    <phoneticPr fontId="2" type="noConversion"/>
  </si>
  <si>
    <t>长安航旅拟以每股 2.087 元对长安航空进行增资。股权比例由25.71%上升至28.29%</t>
    <phoneticPr fontId="2" type="noConversion"/>
  </si>
  <si>
    <t>数据来源：同花顺iFinD</t>
  </si>
  <si>
    <r>
      <t>NOIAT</t>
    </r>
    <r>
      <rPr>
        <sz val="10"/>
        <color indexed="8"/>
        <rFont val="宋体"/>
        <family val="3"/>
        <charset val="134"/>
      </rPr>
      <t>价值比率</t>
    </r>
    <phoneticPr fontId="6" type="noConversion"/>
  </si>
  <si>
    <r>
      <t>EBIT</t>
    </r>
    <r>
      <rPr>
        <sz val="10"/>
        <rFont val="宋体"/>
        <family val="3"/>
        <charset val="134"/>
      </rPr>
      <t>价值比率</t>
    </r>
    <phoneticPr fontId="6" type="noConversion"/>
  </si>
  <si>
    <r>
      <t>EBITDA</t>
    </r>
    <r>
      <rPr>
        <sz val="10"/>
        <rFont val="宋体"/>
        <family val="3"/>
        <charset val="134"/>
      </rPr>
      <t>价值比率</t>
    </r>
    <phoneticPr fontId="6" type="noConversion"/>
  </si>
  <si>
    <r>
      <rPr>
        <b/>
        <sz val="18"/>
        <rFont val="宋体"/>
        <family val="3"/>
        <charset val="134"/>
      </rPr>
      <t>市场法评估计算表</t>
    </r>
    <phoneticPr fontId="6" type="noConversion"/>
  </si>
  <si>
    <r>
      <rPr>
        <sz val="12"/>
        <rFont val="宋体"/>
        <family val="3"/>
        <charset val="134"/>
      </rPr>
      <t>表</t>
    </r>
    <r>
      <rPr>
        <sz val="12"/>
        <rFont val="Times New Roman"/>
        <family val="1"/>
      </rPr>
      <t>2-2</t>
    </r>
    <phoneticPr fontId="6" type="noConversion"/>
  </si>
  <si>
    <t>企业名称</t>
  </si>
  <si>
    <t>五年平均值</t>
    <phoneticPr fontId="6" type="noConversion"/>
  </si>
  <si>
    <r>
      <rPr>
        <b/>
        <sz val="12"/>
        <rFont val="宋体"/>
        <family val="3"/>
        <charset val="134"/>
      </rPr>
      <t>最近</t>
    </r>
    <r>
      <rPr>
        <b/>
        <sz val="12"/>
        <rFont val="Times New Roman"/>
        <family val="1"/>
      </rPr>
      <t>12</t>
    </r>
    <r>
      <rPr>
        <b/>
        <sz val="12"/>
        <rFont val="宋体"/>
        <family val="3"/>
        <charset val="134"/>
      </rPr>
      <t>个月</t>
    </r>
    <phoneticPr fontId="6" type="noConversion"/>
  </si>
  <si>
    <r>
      <t xml:space="preserve">NOIAT
</t>
    </r>
    <r>
      <rPr>
        <b/>
        <sz val="12"/>
        <rFont val="宋体"/>
        <family val="3"/>
        <charset val="134"/>
      </rPr>
      <t>比率乘数</t>
    </r>
    <phoneticPr fontId="6" type="noConversion"/>
  </si>
  <si>
    <r>
      <t xml:space="preserve">EBIT
</t>
    </r>
    <r>
      <rPr>
        <b/>
        <sz val="12"/>
        <rFont val="宋体"/>
        <family val="3"/>
        <charset val="134"/>
      </rPr>
      <t>比率乘数</t>
    </r>
    <phoneticPr fontId="6" type="noConversion"/>
  </si>
  <si>
    <r>
      <t xml:space="preserve">EBITDA
</t>
    </r>
    <r>
      <rPr>
        <b/>
        <sz val="12"/>
        <rFont val="宋体"/>
        <family val="3"/>
        <charset val="134"/>
      </rPr>
      <t>比率乘数</t>
    </r>
    <phoneticPr fontId="6" type="noConversion"/>
  </si>
  <si>
    <t>被评估公司比率乘数取值</t>
    <phoneticPr fontId="6" type="noConversion"/>
  </si>
  <si>
    <r>
      <rPr>
        <sz val="12"/>
        <rFont val="宋体"/>
        <family val="3"/>
        <charset val="134"/>
      </rPr>
      <t>被评估公司对应参数</t>
    </r>
    <phoneticPr fontId="6" type="noConversion"/>
  </si>
  <si>
    <r>
      <rPr>
        <sz val="12"/>
        <rFont val="宋体"/>
        <family val="3"/>
        <charset val="134"/>
      </rPr>
      <t>被评估公司全投资计算价值</t>
    </r>
    <phoneticPr fontId="6" type="noConversion"/>
  </si>
  <si>
    <t>经营性资产价值</t>
    <phoneticPr fontId="6" type="noConversion"/>
  </si>
  <si>
    <t>D</t>
    <phoneticPr fontId="6" type="noConversion"/>
  </si>
  <si>
    <r>
      <rPr>
        <sz val="12"/>
        <rFont val="宋体"/>
        <family val="3"/>
        <charset val="134"/>
      </rPr>
      <t>被评估公司负息负债</t>
    </r>
    <phoneticPr fontId="6" type="noConversion"/>
  </si>
  <si>
    <t>可比付息债务</t>
    <phoneticPr fontId="6" type="noConversion"/>
  </si>
  <si>
    <t>E</t>
    <phoneticPr fontId="6" type="noConversion"/>
  </si>
  <si>
    <t>被评估企业股权价值</t>
    <phoneticPr fontId="6" type="noConversion"/>
  </si>
  <si>
    <t>D/(E+D)</t>
    <phoneticPr fontId="6" type="noConversion"/>
  </si>
  <si>
    <t>账面付息债务</t>
    <phoneticPr fontId="6" type="noConversion"/>
  </si>
  <si>
    <t>控制权溢价率</t>
    <phoneticPr fontId="6" type="noConversion"/>
  </si>
  <si>
    <t>非经营性付息债务</t>
    <phoneticPr fontId="6" type="noConversion"/>
  </si>
  <si>
    <t>被评估企业经营性资产构成的股权价值</t>
    <phoneticPr fontId="6" type="noConversion"/>
  </si>
  <si>
    <t>非经营性资产、溢余资产净值</t>
    <phoneticPr fontId="6" type="noConversion"/>
  </si>
  <si>
    <r>
      <rPr>
        <b/>
        <sz val="12"/>
        <rFont val="宋体"/>
        <family val="3"/>
        <charset val="134"/>
      </rPr>
      <t>被评估公司股权市场价值</t>
    </r>
    <r>
      <rPr>
        <b/>
        <sz val="12"/>
        <rFont val="Times New Roman"/>
        <family val="1"/>
      </rPr>
      <t>(</t>
    </r>
    <r>
      <rPr>
        <b/>
        <sz val="12"/>
        <rFont val="宋体"/>
        <family val="3"/>
        <charset val="134"/>
      </rPr>
      <t>取整</t>
    </r>
    <r>
      <rPr>
        <b/>
        <sz val="12"/>
        <rFont val="Times New Roman"/>
        <family val="1"/>
      </rPr>
      <t>)</t>
    </r>
    <phoneticPr fontId="6" type="noConversion"/>
  </si>
  <si>
    <t>评估结果(全部股权)</t>
    <phoneticPr fontId="6" type="noConversion"/>
  </si>
  <si>
    <t>评估基准日：2018年12月31日</t>
    <phoneticPr fontId="2" type="noConversion"/>
  </si>
  <si>
    <t>EBIT</t>
  </si>
  <si>
    <t>EBITDA</t>
  </si>
  <si>
    <t>NOIAT</t>
  </si>
  <si>
    <r>
      <t>EBITDAR</t>
    </r>
    <r>
      <rPr>
        <sz val="10"/>
        <rFont val="宋体"/>
        <family val="3"/>
        <charset val="134"/>
      </rPr>
      <t>价值比率</t>
    </r>
    <phoneticPr fontId="6" type="noConversion"/>
  </si>
  <si>
    <r>
      <t>EBITDAR</t>
    </r>
    <r>
      <rPr>
        <sz val="10"/>
        <color indexed="8"/>
        <rFont val="宋体"/>
        <family val="3"/>
        <charset val="134"/>
      </rPr>
      <t>价值比率</t>
    </r>
    <r>
      <rPr>
        <sz val="10"/>
        <color indexed="8"/>
        <rFont val="Arial Unicode MS"/>
        <family val="2"/>
      </rPr>
      <t>2</t>
    </r>
    <phoneticPr fontId="6" type="noConversion"/>
  </si>
  <si>
    <t>被评估单位：金鹏航空股份有限公司</t>
  </si>
  <si>
    <t>　　研发费用</t>
    <phoneticPr fontId="2" type="noConversion"/>
  </si>
  <si>
    <t xml:space="preserve">    应收票据及应收账款</t>
    <phoneticPr fontId="2" type="noConversion"/>
  </si>
  <si>
    <t>上海吉祥航空股份有限公司</t>
    <phoneticPr fontId="2" type="noConversion"/>
  </si>
  <si>
    <t>九元航空</t>
    <phoneticPr fontId="2" type="noConversion"/>
  </si>
  <si>
    <t>经交易双方友好协商，本次交易的定价以每 1 元注册资本作价 2 元为参考基准，本次收购亿利资源持有九元航空 11.90%股权的价格为人民币 18,000 万元。</t>
    <phoneticPr fontId="2" type="noConversion"/>
  </si>
  <si>
    <t>i</t>
    <phoneticPr fontId="2" type="noConversion"/>
  </si>
  <si>
    <t>评估方法</t>
    <phoneticPr fontId="2" type="noConversion"/>
  </si>
  <si>
    <t>最终选取方法</t>
    <phoneticPr fontId="2" type="noConversion"/>
  </si>
  <si>
    <t>交易目的</t>
    <phoneticPr fontId="2" type="noConversion"/>
  </si>
  <si>
    <t>收益法、市场法</t>
    <phoneticPr fontId="2" type="noConversion"/>
  </si>
  <si>
    <t>增资</t>
    <phoneticPr fontId="2" type="noConversion"/>
  </si>
  <si>
    <t>飞机数量</t>
    <phoneticPr fontId="2" type="noConversion"/>
  </si>
  <si>
    <t>自15，租8，共23</t>
    <phoneticPr fontId="2" type="noConversion"/>
  </si>
  <si>
    <t>股权转让</t>
    <phoneticPr fontId="2" type="noConversion"/>
  </si>
  <si>
    <t>收益法</t>
    <phoneticPr fontId="2" type="noConversion"/>
  </si>
  <si>
    <t>天津航空</t>
    <phoneticPr fontId="2" type="noConversion"/>
  </si>
  <si>
    <t>飞机95架</t>
    <phoneticPr fontId="2" type="noConversion"/>
  </si>
  <si>
    <t>国际、国内、天津</t>
    <phoneticPr fontId="2" type="noConversion"/>
  </si>
  <si>
    <t>吉祥航空</t>
    <phoneticPr fontId="2" type="noConversion"/>
  </si>
  <si>
    <t>九元航空</t>
    <phoneticPr fontId="2" type="noConversion"/>
  </si>
  <si>
    <t>上海吉祥航空股份有限公司拟以现金收购控股子公司九元航空有限公司少数股东亿利资源集团有限公司持有的九元航空 11.90%的股权。本次交易价格为人民币 18,000万元。</t>
    <phoneticPr fontId="2" type="noConversion"/>
  </si>
  <si>
    <t>2018年11月，陕西省、西安市与中国航空工业集团签署协议，西安航空航天投资股份有限公司牵头对幸福航空进行重组，成为幸福航空控股股东。股权转让后，形成股本构成为西安航空航天投资股份有限公司占比65%、幸福航空控股有限公司（航空工业集团全资子公司）占比24%、奥凯航空有限公司占比5%、北京幸福众持投资管理有限公司占比6%的幸福航空。</t>
    <phoneticPr fontId="2" type="noConversion"/>
  </si>
  <si>
    <t>海南航空控股股份有限公司于 2019 年 10月 16 日拟以每股 1.70元人民币的价格向海航航空集团有限公司转让持有的天津航空有限责任公司（以下简称“天津航空”）48%股权，交易金额共计 668,516.16 万元人民币。</t>
    <phoneticPr fontId="2" type="noConversion"/>
  </si>
  <si>
    <t>少数股权折价</t>
    <phoneticPr fontId="2" type="noConversion"/>
  </si>
  <si>
    <t>金鹏航空</t>
    <phoneticPr fontId="2" type="noConversion"/>
  </si>
  <si>
    <t>P/S</t>
    <phoneticPr fontId="6" type="noConversion"/>
  </si>
  <si>
    <t xml:space="preserve">      利息支出</t>
    <phoneticPr fontId="2" type="noConversion"/>
  </si>
  <si>
    <t>　　研发费用</t>
    <phoneticPr fontId="2" type="noConversion"/>
  </si>
  <si>
    <t>2015-12-31</t>
    <phoneticPr fontId="2" type="noConversion"/>
  </si>
  <si>
    <t>P/E</t>
    <phoneticPr fontId="6" type="noConversion"/>
  </si>
  <si>
    <t>P/B</t>
    <phoneticPr fontId="6" type="noConversion"/>
  </si>
  <si>
    <t>2019-12-31</t>
    <phoneticPr fontId="2" type="noConversion"/>
  </si>
  <si>
    <t>2020-09-30</t>
  </si>
  <si>
    <t>2020年（年化）</t>
  </si>
  <si>
    <t>证券简称</t>
  </si>
  <si>
    <t>报告参数</t>
  </si>
  <si>
    <t>财务报表新准则-一般企业-利润表(单位:万元)</t>
  </si>
  <si>
    <t>一、营业总收入</t>
  </si>
  <si>
    <t xml:space="preserve">                营业收入</t>
  </si>
  <si>
    <t xml:space="preserve">                利息收入</t>
  </si>
  <si>
    <t xml:space="preserve">                已赚保费</t>
  </si>
  <si>
    <t xml:space="preserve">                手续费及佣金收入</t>
  </si>
  <si>
    <t xml:space="preserve">                营业总收入差额(特殊报表科目)</t>
  </si>
  <si>
    <t xml:space="preserve">                营业总收入差额(合计平衡科目)</t>
  </si>
  <si>
    <t>二、营业总成本</t>
  </si>
  <si>
    <t xml:space="preserve">                营业成本</t>
  </si>
  <si>
    <t xml:space="preserve">                利息支出</t>
  </si>
  <si>
    <t xml:space="preserve">                手续费及佣金支出</t>
  </si>
  <si>
    <t xml:space="preserve">                退保金</t>
  </si>
  <si>
    <t xml:space="preserve">                赔付支出</t>
  </si>
  <si>
    <t xml:space="preserve">                提取保险合同准备金</t>
  </si>
  <si>
    <t xml:space="preserve">                保单红利支出</t>
  </si>
  <si>
    <t xml:space="preserve">                分保费用</t>
  </si>
  <si>
    <t xml:space="preserve">                税金及附加</t>
  </si>
  <si>
    <t xml:space="preserve">                销售费用</t>
  </si>
  <si>
    <t xml:space="preserve">                管理费用</t>
  </si>
  <si>
    <t xml:space="preserve">                研发费用</t>
  </si>
  <si>
    <t xml:space="preserve">                财务费用</t>
  </si>
  <si>
    <t xml:space="preserve">                其中：财务费用：利息费用</t>
  </si>
  <si>
    <t xml:space="preserve">                      财务费用：利息收入</t>
  </si>
  <si>
    <t xml:space="preserve">                资产减值损失</t>
  </si>
  <si>
    <t xml:space="preserve">                信用减值损失</t>
  </si>
  <si>
    <t xml:space="preserve">                营业总成本差额(特殊报表科目)</t>
  </si>
  <si>
    <t xml:space="preserve">                营业总成本差额(合计平衡科目)</t>
  </si>
  <si>
    <t xml:space="preserve">                公允价值变动收益</t>
  </si>
  <si>
    <t xml:space="preserve">                投资收益</t>
  </si>
  <si>
    <t xml:space="preserve">                其中：对联营企业和合营企业的投资收益</t>
  </si>
  <si>
    <t xml:space="preserve">                      以摊余成本计量的金融资产终止确认收益</t>
  </si>
  <si>
    <t xml:space="preserve">                净敞口套期收益</t>
  </si>
  <si>
    <t xml:space="preserve">                汇兑收益</t>
  </si>
  <si>
    <t xml:space="preserve">                资产处置收益</t>
  </si>
  <si>
    <t xml:space="preserve">                其他收益</t>
  </si>
  <si>
    <t xml:space="preserve">                营业利润差额(特殊报表科目)</t>
  </si>
  <si>
    <t xml:space="preserve">                营业利润差额(合计平衡科目)</t>
  </si>
  <si>
    <t xml:space="preserve">                加：营业外收入</t>
  </si>
  <si>
    <t xml:space="preserve">                其中：非流动资产处置利得</t>
  </si>
  <si>
    <t xml:space="preserve">                减：营业外支出</t>
  </si>
  <si>
    <t xml:space="preserve">                其中：非流动资产处置损失</t>
  </si>
  <si>
    <t xml:space="preserve">                利润总额差额(特殊报表科目)</t>
  </si>
  <si>
    <t xml:space="preserve">                利润总额差额(合计平衡科目)</t>
  </si>
  <si>
    <t xml:space="preserve">                减：所得税费用</t>
  </si>
  <si>
    <t xml:space="preserve">                净利润差额(特殊报表科目)</t>
  </si>
  <si>
    <t xml:space="preserve">                净利润差额(合计平衡科目)</t>
  </si>
  <si>
    <t xml:space="preserve">                (一)持续经营净利润</t>
  </si>
  <si>
    <t xml:space="preserve">                (二)终止经营净利润</t>
  </si>
  <si>
    <t xml:space="preserve">                减：少数股东损益</t>
  </si>
  <si>
    <t xml:space="preserve">                归属于母公司所有者的净利润</t>
  </si>
  <si>
    <t>六、每股收益：</t>
  </si>
  <si>
    <t xml:space="preserve">                 (一) 基本每股收益(元)</t>
  </si>
  <si>
    <t xml:space="preserve">                 (二) 稀释每股收益(元)</t>
  </si>
  <si>
    <t>七、其他综合收益</t>
  </si>
  <si>
    <t xml:space="preserve">                归属母公司所有者的其他综合收益</t>
  </si>
  <si>
    <t xml:space="preserve">                （一）以后不能重分类进损益的其他综合收益</t>
  </si>
  <si>
    <t xml:space="preserve">                1,重新计量设定受益计划净负债或净资产的变动</t>
  </si>
  <si>
    <t xml:space="preserve">                2,权益法下在被投资单位不能重分类进损益的其他综合收益中享有的份额</t>
  </si>
  <si>
    <t xml:space="preserve">                3,其他以后不能重分类进损益</t>
  </si>
  <si>
    <t xml:space="preserve">                4,其他权益工具投资公允价值变动</t>
  </si>
  <si>
    <t xml:space="preserve">                5,企业自身信用风险公允价值变动</t>
  </si>
  <si>
    <t xml:space="preserve">                （二）以后将重分类进损益的其他综合收益</t>
  </si>
  <si>
    <t xml:space="preserve">                1,权益法下在被投资单位以后将重分类进损益的其他综合收益中享有的份额</t>
  </si>
  <si>
    <t xml:space="preserve">                2,可供出售金融资产公允价值变动损益</t>
  </si>
  <si>
    <t xml:space="preserve">                3,持有至到期投资重分类为可供出售金融资产损益</t>
  </si>
  <si>
    <t xml:space="preserve">                4,现金流量套期损益的有效部分</t>
  </si>
  <si>
    <t xml:space="preserve">                5,外币财务报表折算差额</t>
  </si>
  <si>
    <t xml:space="preserve">                6,其他以后将重分类进损益</t>
  </si>
  <si>
    <t xml:space="preserve">                7,其他债权投资公允价值变动</t>
  </si>
  <si>
    <t xml:space="preserve">                8,金融资产重分类计入其他综合收益的金额</t>
  </si>
  <si>
    <t xml:space="preserve">                9,其他债权投资信用减值准备</t>
  </si>
  <si>
    <t xml:space="preserve">                10,现金流量套期储备</t>
  </si>
  <si>
    <t xml:space="preserve">                归属于少数股东的其他综合收益</t>
  </si>
  <si>
    <t>八、综合收益总额</t>
  </si>
  <si>
    <t xml:space="preserve">                归属于母公司股东的综合收益总额</t>
  </si>
  <si>
    <t xml:space="preserve">                归属于少数股东的综合收益总额</t>
  </si>
  <si>
    <t>财务报表新准则-一般企业-资产负债表(单位:万元)</t>
  </si>
  <si>
    <t xml:space="preserve">                货币资金</t>
  </si>
  <si>
    <t xml:space="preserve">                结算备付金</t>
  </si>
  <si>
    <t xml:space="preserve">                拆出资金</t>
  </si>
  <si>
    <t xml:space="preserve">                交易性金融资产</t>
  </si>
  <si>
    <t xml:space="preserve">                衍生金融资产</t>
  </si>
  <si>
    <t xml:space="preserve">                应收票据及应收账款</t>
  </si>
  <si>
    <t xml:space="preserve">                应收款项融资</t>
  </si>
  <si>
    <t xml:space="preserve">                应收保费</t>
  </si>
  <si>
    <t xml:space="preserve">                应收分保账款</t>
  </si>
  <si>
    <t xml:space="preserve">                应收分保合同准备金</t>
  </si>
  <si>
    <t xml:space="preserve">                其他应收款合计</t>
  </si>
  <si>
    <t xml:space="preserve">                其中：应收利息</t>
  </si>
  <si>
    <t xml:space="preserve">                      应收股利</t>
  </si>
  <si>
    <t xml:space="preserve">                      其他应收款</t>
  </si>
  <si>
    <t xml:space="preserve">                买入返售金融资产</t>
  </si>
  <si>
    <t xml:space="preserve">                合同资产</t>
  </si>
  <si>
    <t xml:space="preserve">                存货</t>
  </si>
  <si>
    <t xml:space="preserve">                持有待售资产</t>
  </si>
  <si>
    <t xml:space="preserve">                一年内到期的非流动资产</t>
  </si>
  <si>
    <t xml:space="preserve">                其他流动资产</t>
  </si>
  <si>
    <t xml:space="preserve">                流动资产差额(特殊报表科目)</t>
  </si>
  <si>
    <t xml:space="preserve">                流动资产差额(合计平衡科目)</t>
  </si>
  <si>
    <t xml:space="preserve">                流动资产合计</t>
  </si>
  <si>
    <t xml:space="preserve">                发放贷款及垫款</t>
  </si>
  <si>
    <t xml:space="preserve">                以公允价值计量且其变动计入其他综合收益的金融资产</t>
  </si>
  <si>
    <t xml:space="preserve">                以摊余成本计量的金融资产</t>
  </si>
  <si>
    <t xml:space="preserve">                可供出售金融资产</t>
  </si>
  <si>
    <t xml:space="preserve">                持有至到期投资</t>
  </si>
  <si>
    <t xml:space="preserve">                债权投资</t>
  </si>
  <si>
    <t xml:space="preserve">                其他债权投资</t>
  </si>
  <si>
    <t xml:space="preserve">                长期应收款</t>
  </si>
  <si>
    <t xml:space="preserve">                长期股权投资</t>
  </si>
  <si>
    <t xml:space="preserve">                其他权益工具投资</t>
  </si>
  <si>
    <t xml:space="preserve">                其他非流动金融资产</t>
  </si>
  <si>
    <t xml:space="preserve">                投资性房地产</t>
  </si>
  <si>
    <t xml:space="preserve">                固定资产合计</t>
  </si>
  <si>
    <t xml:space="preserve">                其中：固定资产</t>
  </si>
  <si>
    <t xml:space="preserve">                      固定资产清理</t>
  </si>
  <si>
    <t xml:space="preserve">                在建工程合计</t>
  </si>
  <si>
    <t xml:space="preserve">                其中：在建工程</t>
  </si>
  <si>
    <t xml:space="preserve">                      工程物资</t>
  </si>
  <si>
    <t xml:space="preserve">                生产性生物资产</t>
  </si>
  <si>
    <t xml:space="preserve">                油气资产</t>
  </si>
  <si>
    <t xml:space="preserve">                使用权资产</t>
  </si>
  <si>
    <t xml:space="preserve">                无形资产</t>
  </si>
  <si>
    <t xml:space="preserve">                开发支出</t>
  </si>
  <si>
    <t xml:space="preserve">                商誉</t>
  </si>
  <si>
    <t xml:space="preserve">                长期待摊费用</t>
  </si>
  <si>
    <t xml:space="preserve">                递延所得税资产</t>
  </si>
  <si>
    <t xml:space="preserve">                其他非流动资产</t>
  </si>
  <si>
    <t xml:space="preserve">                非流动资产差额(特殊报表科目)</t>
  </si>
  <si>
    <t xml:space="preserve">                非流动资产差额(合计平衡科目)</t>
  </si>
  <si>
    <t xml:space="preserve">                非流动资产合计</t>
  </si>
  <si>
    <t xml:space="preserve">                资产差额(特殊报表科目)</t>
  </si>
  <si>
    <t xml:space="preserve">                资产差额(合计平衡科目)</t>
  </si>
  <si>
    <t xml:space="preserve">                资产总计</t>
  </si>
  <si>
    <t xml:space="preserve">                短期借款</t>
  </si>
  <si>
    <t xml:space="preserve">                向中央银行借款</t>
  </si>
  <si>
    <t xml:space="preserve">                吸收存款及同业存放</t>
  </si>
  <si>
    <t xml:space="preserve">                拆入资金</t>
  </si>
  <si>
    <t xml:space="preserve">                交易性金融负债</t>
  </si>
  <si>
    <t xml:space="preserve">                衍生金融负债</t>
  </si>
  <si>
    <t xml:space="preserve">                应付票据及应付账款</t>
  </si>
  <si>
    <t xml:space="preserve">                合同负债</t>
  </si>
  <si>
    <t xml:space="preserve">                卖出回购金融资产款</t>
  </si>
  <si>
    <t xml:space="preserve">                应付手续费及佣金</t>
  </si>
  <si>
    <t xml:space="preserve">                应付职工薪酬</t>
  </si>
  <si>
    <t xml:space="preserve">                应交税费</t>
  </si>
  <si>
    <t xml:space="preserve">                其他应付款合计</t>
  </si>
  <si>
    <t xml:space="preserve">                其中：应付利息</t>
  </si>
  <si>
    <t xml:space="preserve">                      应付股利</t>
  </si>
  <si>
    <t xml:space="preserve">                      其他应付款</t>
  </si>
  <si>
    <t xml:space="preserve">                应付分保账款</t>
  </si>
  <si>
    <t xml:space="preserve">                保险合同准备金</t>
  </si>
  <si>
    <t xml:space="preserve">                代理买卖证券款</t>
  </si>
  <si>
    <t xml:space="preserve">                代理承销证券款</t>
  </si>
  <si>
    <t xml:space="preserve">                持有待售负债</t>
  </si>
  <si>
    <t xml:space="preserve">                一年内到期的非流动负债</t>
  </si>
  <si>
    <t xml:space="preserve">                递延收益-流动负债</t>
  </si>
  <si>
    <t xml:space="preserve">                应付短期债券</t>
  </si>
  <si>
    <t xml:space="preserve">                其他流动负债</t>
  </si>
  <si>
    <t xml:space="preserve">                流动负债差额(特殊报表科目)</t>
  </si>
  <si>
    <t xml:space="preserve">                流动负债差额(合计平衡科目)</t>
  </si>
  <si>
    <t xml:space="preserve">                流动负债合计</t>
  </si>
  <si>
    <t xml:space="preserve">                长期借款</t>
  </si>
  <si>
    <t xml:space="preserve">                应付债券</t>
  </si>
  <si>
    <t xml:space="preserve">                其中:优先股</t>
  </si>
  <si>
    <t xml:space="preserve">                      永续债</t>
  </si>
  <si>
    <t xml:space="preserve">                租赁负债</t>
  </si>
  <si>
    <t xml:space="preserve">                长期应付款合计</t>
  </si>
  <si>
    <t xml:space="preserve">                其中：长期应付款</t>
  </si>
  <si>
    <t xml:space="preserve">                      专项应付款</t>
  </si>
  <si>
    <t xml:space="preserve">                长期应付职工薪酬</t>
  </si>
  <si>
    <t xml:space="preserve">                预计负债</t>
  </si>
  <si>
    <t xml:space="preserve">                递延所得税负债</t>
  </si>
  <si>
    <t xml:space="preserve">                递延收益-非流动负债</t>
  </si>
  <si>
    <t xml:space="preserve">                其他非流动负债</t>
  </si>
  <si>
    <t xml:space="preserve">                非流动负债差额(特殊报表科目)</t>
  </si>
  <si>
    <t xml:space="preserve">                非流动负债差额(合计平衡科目)</t>
  </si>
  <si>
    <t xml:space="preserve">                非流动负债合计</t>
  </si>
  <si>
    <t xml:space="preserve">                负债差额(特殊报表科目)</t>
  </si>
  <si>
    <t xml:space="preserve">                负债差额(合计平衡科目)</t>
  </si>
  <si>
    <t xml:space="preserve">                负债合计</t>
  </si>
  <si>
    <t xml:space="preserve">                实收资本(或股本)</t>
  </si>
  <si>
    <t xml:space="preserve">                资本公积</t>
  </si>
  <si>
    <t xml:space="preserve">                减：库存股</t>
  </si>
  <si>
    <t xml:space="preserve">                其他综合收益</t>
  </si>
  <si>
    <t xml:space="preserve">                其他权益工具</t>
  </si>
  <si>
    <t xml:space="preserve">                专项储备</t>
  </si>
  <si>
    <t xml:space="preserve">                盈余公积</t>
  </si>
  <si>
    <t xml:space="preserve">                一般风险准备</t>
  </si>
  <si>
    <t xml:space="preserve">                未分配利润</t>
  </si>
  <si>
    <t xml:space="preserve">                外币报表折算差额</t>
  </si>
  <si>
    <t xml:space="preserve">                少数股东权益</t>
  </si>
  <si>
    <t xml:space="preserve">                股东权益差额(特殊报表科目)</t>
  </si>
  <si>
    <t xml:space="preserve">                股权权益差额(合计平衡科目)</t>
  </si>
  <si>
    <t xml:space="preserve">                所有者权益合计</t>
  </si>
  <si>
    <t xml:space="preserve">                负债及股东权益差额(特殊报表科目)</t>
  </si>
  <si>
    <t xml:space="preserve">                负债及股东权益差额(合计平衡科目)</t>
  </si>
  <si>
    <t xml:space="preserve">                负债和所有者权益总计</t>
  </si>
  <si>
    <t>财务报表新准则-一般企业-现金流量表(单位:万元)</t>
  </si>
  <si>
    <t>一、经营活动产生的现金流量：</t>
  </si>
  <si>
    <t xml:space="preserve">                销售商品、提供劳务收到的现金</t>
  </si>
  <si>
    <t xml:space="preserve">                客户存款和同业存放款项净增加额</t>
  </si>
  <si>
    <t xml:space="preserve">                向中央银行借款净增加额</t>
  </si>
  <si>
    <t xml:space="preserve">                向其他金融机构拆入资金净增加额</t>
  </si>
  <si>
    <t xml:space="preserve">                收到原保险合同保费取得的现金</t>
  </si>
  <si>
    <t xml:space="preserve">                收到再保业务现金净额</t>
  </si>
  <si>
    <t xml:space="preserve">                保户储金及投资款净增加额</t>
  </si>
  <si>
    <t xml:space="preserve">                处置以公允价值计量且其变动计入当期损益的金融资产净增加额</t>
  </si>
  <si>
    <t xml:space="preserve">                收取利息、手续费及佣金的现金</t>
  </si>
  <si>
    <t xml:space="preserve">                拆入资金净增加额</t>
  </si>
  <si>
    <t xml:space="preserve">                回购业务资金净增加额</t>
  </si>
  <si>
    <t xml:space="preserve">                收到的税费返还</t>
  </si>
  <si>
    <t xml:space="preserve">                收到其他与经营活动有关的现金</t>
  </si>
  <si>
    <t xml:space="preserve">                经营活动现金流入差额(特殊报表科目)</t>
  </si>
  <si>
    <t xml:space="preserve">                经营活动现金流入差额(合计平衡科目)</t>
  </si>
  <si>
    <t xml:space="preserve">                经营活动现金流入小计</t>
  </si>
  <si>
    <t xml:space="preserve">                购买商品、接受劳务支付的现金</t>
  </si>
  <si>
    <t xml:space="preserve">                客户贷款及垫款净增加额</t>
  </si>
  <si>
    <t xml:space="preserve">                存放中央银行和同业款项净增加额</t>
  </si>
  <si>
    <t xml:space="preserve">                支付原保险合同赔付款项的现金</t>
  </si>
  <si>
    <t xml:space="preserve">                支付利息、手续费及佣金的现金</t>
  </si>
  <si>
    <t xml:space="preserve">                支付保单红利的现金</t>
  </si>
  <si>
    <t xml:space="preserve">                支付给职工以及为职工支付的现金</t>
  </si>
  <si>
    <t xml:space="preserve">                支付的各项税费</t>
  </si>
  <si>
    <t xml:space="preserve">                支付其他与经营活动有关的现金</t>
  </si>
  <si>
    <t xml:space="preserve">                经营活动现金流出差额(特殊报表科目)</t>
  </si>
  <si>
    <t xml:space="preserve">                经营活动现金流出差额(合计平衡科目)</t>
  </si>
  <si>
    <t xml:space="preserve">                经营活动现金流出小计</t>
  </si>
  <si>
    <t xml:space="preserve">                经营活动产生的现金流量净额差额(特殊报表科目)</t>
  </si>
  <si>
    <t xml:space="preserve">                经营活动产生的现金流量净额差额(合计平衡科目)</t>
  </si>
  <si>
    <t xml:space="preserve">                经营活动产生的现金流量净额</t>
  </si>
  <si>
    <t>二、投资活动产生的现金流量：</t>
  </si>
  <si>
    <t xml:space="preserve">                收回投资收到的现金</t>
  </si>
  <si>
    <t xml:space="preserve">                取得投资收益收到的现金</t>
  </si>
  <si>
    <t xml:space="preserve">                处置固定资产、无形资产和其他长期资产收回的现金净额</t>
  </si>
  <si>
    <t xml:space="preserve">                处置子公司及其他营业单位收到的现金净额</t>
  </si>
  <si>
    <t xml:space="preserve">                收到其他与投资活动有关的现金</t>
  </si>
  <si>
    <t xml:space="preserve">                投资活动现金流入差额(特殊报表科目)</t>
  </si>
  <si>
    <t xml:space="preserve">                投资活动现金流入差额(合计平衡科目)</t>
  </si>
  <si>
    <t xml:space="preserve">                投资活动现金流入小计</t>
  </si>
  <si>
    <t xml:space="preserve">                购建固定资产、无形资产和其他长期资产支付的现金</t>
  </si>
  <si>
    <t xml:space="preserve">                投资支付的现金</t>
  </si>
  <si>
    <t xml:space="preserve">                质押贷款净增加额</t>
  </si>
  <si>
    <t xml:space="preserve">                取得子公司及其他营业单位支付的现金净额</t>
  </si>
  <si>
    <t xml:space="preserve">                支付其他与投资活动有关的现金</t>
  </si>
  <si>
    <t xml:space="preserve">                投资活动现金流出差额(特殊报表科目)</t>
  </si>
  <si>
    <t xml:space="preserve">                投资活动现金流出差额(合计平衡科目)</t>
  </si>
  <si>
    <t xml:space="preserve">                投资活动现金流出小计</t>
  </si>
  <si>
    <t xml:space="preserve">                投资活动产生的现金流量净额差额(特殊报表科目)</t>
  </si>
  <si>
    <t xml:space="preserve">                投资活动产生的现金流量净额差额(合计平衡科目)</t>
  </si>
  <si>
    <t xml:space="preserve">                投资活动产生的现金流量净额</t>
  </si>
  <si>
    <t>三、筹资活动产生的现金流量：</t>
  </si>
  <si>
    <t xml:space="preserve">                吸收投资收到的现金</t>
  </si>
  <si>
    <t xml:space="preserve">                其中：子公司吸收少数股东投资收到的现金</t>
  </si>
  <si>
    <t xml:space="preserve">                取得借款收到的现金</t>
  </si>
  <si>
    <t xml:space="preserve">                收到其他与筹资活动有关的现金</t>
  </si>
  <si>
    <t xml:space="preserve">                发行债券收到的现金</t>
  </si>
  <si>
    <t xml:space="preserve">                筹资活动现金流入差额(特殊报表科目)</t>
  </si>
  <si>
    <t xml:space="preserve">                筹资活动现金流入差额(合计平衡科目)</t>
  </si>
  <si>
    <t xml:space="preserve">                筹资活动现金流入小计</t>
  </si>
  <si>
    <t xml:space="preserve">                偿还债务支付的现金</t>
  </si>
  <si>
    <t xml:space="preserve">                分配股利、利润或偿付利息支付的现金</t>
  </si>
  <si>
    <t xml:space="preserve">                其中：子公司支付给少数股东的股利、利润</t>
  </si>
  <si>
    <t xml:space="preserve">                支付其他与筹资活动有关的现金</t>
  </si>
  <si>
    <t xml:space="preserve">                筹资活动现金流出差额(特殊报表科目)</t>
  </si>
  <si>
    <t xml:space="preserve">                筹资活动现金流出差额(合计平衡科目)</t>
  </si>
  <si>
    <t xml:space="preserve">                筹资活动现金流出小计</t>
  </si>
  <si>
    <t xml:space="preserve">                筹资活动产生的现金流量净额差额(特殊报表科目)</t>
  </si>
  <si>
    <t xml:space="preserve">                筹资活动产生的现金流量净额差额(合计平衡科目)</t>
  </si>
  <si>
    <t xml:space="preserve">                筹资活动产生的现金流量净额</t>
  </si>
  <si>
    <t>四、汇率变动对现金及现金等价物的影响</t>
  </si>
  <si>
    <t xml:space="preserve">                直接法-现金及现金等价物净增加额差额(特殊报表科目)</t>
  </si>
  <si>
    <t xml:space="preserve">                直接法-现金及现金等价物净增加额差额(合计平衡科目)</t>
  </si>
  <si>
    <t>五、现金及现金等价物净增加额</t>
  </si>
  <si>
    <t xml:space="preserve">                期初现金及现金等价物余额</t>
  </si>
  <si>
    <t>六、期末现金及现金等价物余额</t>
  </si>
  <si>
    <t>补充资料：</t>
  </si>
  <si>
    <t xml:space="preserve">                现金流量表-净利润</t>
  </si>
  <si>
    <t xml:space="preserve">                加：资产减值准备</t>
  </si>
  <si>
    <t xml:space="preserve">                固定资产折旧、油气资产折耗、生产性生物资产折旧</t>
  </si>
  <si>
    <t xml:space="preserve">                无形资产摊销</t>
  </si>
  <si>
    <t xml:space="preserve">                长期待摊费用摊销</t>
  </si>
  <si>
    <t xml:space="preserve">                处置固定资产、无形资产和其他长期资产的损失</t>
  </si>
  <si>
    <t xml:space="preserve">                固定资产报废损失</t>
  </si>
  <si>
    <t xml:space="preserve">                公允价值变动损失</t>
  </si>
  <si>
    <t xml:space="preserve">                现金流量表-财务费用</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</si>
  <si>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</si>
  <si>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</si>
  <si>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</si>
  <si>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</si>
  <si>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</si>
  <si>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</si>
  <si>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</si>
  <si>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间接法-经营活动现金流量净额差额(特殊报表科目)</t>
  </si>
  <si>
    <t xml:space="preserve">                间接法-经营活动现金流量净额差额(合计平衡科目)</t>
  </si>
  <si>
    <t xml:space="preserve">                间接法-经营活动产生的现金流量净额</t>
  </si>
  <si>
    <t xml:space="preserve">                债务转为资本</t>
  </si>
  <si>
    <t xml:space="preserve">                一年内到期的可转换公司债券</t>
  </si>
  <si>
    <t xml:space="preserve">                融资租入固定资产</t>
  </si>
  <si>
    <t xml:space="preserve">                现金的期末余额</t>
  </si>
  <si>
    <t xml:space="preserve">                减：现金的期初余额</t>
  </si>
  <si>
    <t xml:space="preserve">                加：现金等价物的期末余额</t>
  </si>
  <si>
    <t xml:space="preserve">                减：现金等价物的期初余额</t>
  </si>
  <si>
    <t xml:space="preserve">                间接法-现金及现金等价物净增加额差额(特殊报表科目)</t>
  </si>
  <si>
    <t xml:space="preserve">                间接法-现金及现金等价物净增加额差额(合计平衡科目)</t>
  </si>
  <si>
    <t xml:space="preserve">                间接法-现金及现金等价物净增加额</t>
  </si>
  <si>
    <t>总市值（30日平均值）
[交易日期]  20200930
[单位]  万元</t>
  </si>
  <si>
    <t>带息债务
[报告期]  20200930
[单位]  万元</t>
  </si>
  <si>
    <t>溢余资产、非经营性资产
[报告期]  20200930
[单位]  万元</t>
  </si>
  <si>
    <t>息税前利润EBIT
[报告期]  20200930
[单位]  万元</t>
  </si>
  <si>
    <t>息税折旧/摊销前利润EBITDA
[报告期]  20200930
[单位]  万元</t>
  </si>
  <si>
    <t>税后现金流NOIAT
[报告期]  20200930
[单位]  万元</t>
  </si>
  <si>
    <t>净资产
[报告期]  20200930
[单位]  万元</t>
  </si>
  <si>
    <t>　　货币资金</t>
    <phoneticPr fontId="2" type="noConversion"/>
  </si>
  <si>
    <t xml:space="preserve">    合同负债</t>
    <phoneticPr fontId="2" type="noConversion"/>
  </si>
  <si>
    <t>2016-12-31</t>
    <phoneticPr fontId="2" type="noConversion"/>
  </si>
  <si>
    <t>　　合同负债</t>
    <phoneticPr fontId="2" type="noConversion"/>
  </si>
  <si>
    <t>　　合同资产</t>
    <phoneticPr fontId="2" type="noConversion"/>
  </si>
  <si>
    <t>非经营性资产</t>
    <phoneticPr fontId="2" type="noConversion"/>
  </si>
  <si>
    <t>备注</t>
    <phoneticPr fontId="2" type="noConversion"/>
  </si>
  <si>
    <t>结构性存款、理财等投资</t>
    <phoneticPr fontId="2" type="noConversion"/>
  </si>
  <si>
    <t>主要为押金保证金</t>
    <phoneticPr fontId="2" type="noConversion"/>
  </si>
  <si>
    <t>进项税额</t>
    <phoneticPr fontId="2" type="noConversion"/>
  </si>
  <si>
    <t>付息债务</t>
    <phoneticPr fontId="2" type="noConversion"/>
  </si>
  <si>
    <t>少数股权价值
[报告期]  20200930
[单位]  万元</t>
    <phoneticPr fontId="6" type="noConversion"/>
  </si>
  <si>
    <t>净利润（调整后）
[报告期]  20191231
[单位]  万元</t>
    <phoneticPr fontId="6" type="noConversion"/>
  </si>
  <si>
    <t>理财产品</t>
    <phoneticPr fontId="2" type="noConversion"/>
  </si>
  <si>
    <t>软件产品增值税即征即退税款</t>
    <phoneticPr fontId="2" type="noConversion"/>
  </si>
  <si>
    <t>待抵扣进项税</t>
    <phoneticPr fontId="2" type="noConversion"/>
  </si>
  <si>
    <t>成都高新区办公用房</t>
    <phoneticPr fontId="2" type="noConversion"/>
  </si>
  <si>
    <t>限制性股票回购义务</t>
    <phoneticPr fontId="2" type="noConversion"/>
  </si>
  <si>
    <t>增值税进项税</t>
    <phoneticPr fontId="2" type="noConversion"/>
  </si>
  <si>
    <t>预付土地款和购房款</t>
    <phoneticPr fontId="2" type="noConversion"/>
  </si>
  <si>
    <t>平均值</t>
  </si>
  <si>
    <t>非经营性资产、负债表评估表</t>
    <phoneticPr fontId="6" type="noConversion"/>
  </si>
  <si>
    <t>项目要素表</t>
    <phoneticPr fontId="6" type="noConversion"/>
  </si>
  <si>
    <r>
      <t>索引号：CY6-</t>
    </r>
    <r>
      <rPr>
        <sz val="10"/>
        <rFont val="宋体"/>
        <family val="3"/>
        <charset val="134"/>
      </rPr>
      <t>4</t>
    </r>
    <phoneticPr fontId="6" type="noConversion"/>
  </si>
  <si>
    <t>单位：人民币 万元</t>
  </si>
  <si>
    <t>项目</t>
  </si>
  <si>
    <t>账面价值</t>
  </si>
  <si>
    <t>评估值</t>
  </si>
  <si>
    <t>备注</t>
  </si>
  <si>
    <t>一</t>
  </si>
  <si>
    <t>现金类非经营性资产</t>
  </si>
  <si>
    <t>多余现金</t>
  </si>
  <si>
    <t>可变现有价证券</t>
  </si>
  <si>
    <t>现金类非经营性资产小计</t>
  </si>
  <si>
    <t>二</t>
  </si>
  <si>
    <t>非现金类非经营性资产</t>
  </si>
  <si>
    <r>
      <t>其他应收款</t>
    </r>
    <r>
      <rPr>
        <sz val="10"/>
        <rFont val="Times New Roman"/>
        <family val="1"/>
      </rPr>
      <t>-</t>
    </r>
    <r>
      <rPr>
        <sz val="10"/>
        <rFont val="宋体"/>
        <family val="3"/>
        <charset val="134"/>
      </rPr>
      <t>对外借出款</t>
    </r>
  </si>
  <si>
    <t>长期投权投资</t>
    <phoneticPr fontId="6" type="noConversion"/>
  </si>
  <si>
    <t>非现金类非经营性资产小计</t>
  </si>
  <si>
    <t>三</t>
  </si>
  <si>
    <t>非经营性负债</t>
  </si>
  <si>
    <t>非经营性负债小计</t>
  </si>
  <si>
    <t>四</t>
  </si>
  <si>
    <t>非经营性资产、负债净值</t>
    <phoneticPr fontId="6" type="noConversion"/>
  </si>
  <si>
    <r>
      <rPr>
        <sz val="9"/>
        <color theme="1"/>
        <rFont val="宋体"/>
        <family val="3"/>
        <charset val="134"/>
      </rPr>
      <t>证券代码</t>
    </r>
  </si>
  <si>
    <r>
      <rPr>
        <sz val="9"/>
        <color theme="1"/>
        <rFont val="宋体"/>
        <family val="3"/>
        <charset val="134"/>
      </rPr>
      <t>证券名称</t>
    </r>
  </si>
  <si>
    <t>收益法评估值</t>
    <phoneticPr fontId="2" type="noConversion"/>
  </si>
  <si>
    <t>B</t>
    <phoneticPr fontId="2" type="noConversion"/>
  </si>
  <si>
    <t>A</t>
    <phoneticPr fontId="2" type="noConversion"/>
  </si>
  <si>
    <t>市场法与收益法增值</t>
    <phoneticPr fontId="2" type="noConversion"/>
  </si>
  <si>
    <t>000988.SZ</t>
  </si>
  <si>
    <t>华工科技</t>
  </si>
  <si>
    <t>002008.SZ</t>
  </si>
  <si>
    <t>大族激光</t>
  </si>
  <si>
    <t>688025.SH</t>
  </si>
  <si>
    <t>杰普特</t>
  </si>
  <si>
    <t>300747.SZ</t>
  </si>
  <si>
    <t>锐科激光</t>
  </si>
  <si>
    <r>
      <rPr>
        <b/>
        <sz val="9"/>
        <color indexed="8"/>
        <rFont val="宋体"/>
        <family val="3"/>
        <charset val="134"/>
      </rPr>
      <t>归属于母公司所有者权益合计</t>
    </r>
    <r>
      <rPr>
        <sz val="9"/>
        <color indexed="8"/>
        <rFont val="宋体"/>
        <family val="3"/>
        <charset val="134"/>
      </rPr>
      <t xml:space="preserve">
[报告期]  20200930
[单位]  万元</t>
    </r>
    <phoneticPr fontId="6" type="noConversion"/>
  </si>
  <si>
    <t>流动性折扣</t>
    <phoneticPr fontId="2" type="noConversion"/>
  </si>
  <si>
    <t>评估基准日：</t>
  </si>
  <si>
    <t>被评估单位名称：</t>
  </si>
  <si>
    <t xml:space="preserve">    其他流动资产</t>
  </si>
  <si>
    <t>缺少控制折扣率</t>
    <phoneticPr fontId="2" type="noConversion"/>
  </si>
  <si>
    <t>较小</t>
    <phoneticPr fontId="2" type="noConversion"/>
  </si>
  <si>
    <t>中</t>
    <phoneticPr fontId="2" type="noConversion"/>
  </si>
  <si>
    <t>账面价值</t>
    <phoneticPr fontId="2" type="noConversion"/>
  </si>
  <si>
    <t>持股比例</t>
    <phoneticPr fontId="2" type="noConversion"/>
  </si>
  <si>
    <t>被评估单位持股价值</t>
    <phoneticPr fontId="2" type="noConversion"/>
  </si>
  <si>
    <t xml:space="preserve">   资产评估结果汇总表</t>
  </si>
  <si>
    <r>
      <t>评估基准日：</t>
    </r>
    <r>
      <rPr>
        <sz val="10"/>
        <rFont val="Times New Roman"/>
        <family val="1"/>
      </rPr>
      <t xml:space="preserve"> </t>
    </r>
  </si>
  <si>
    <r>
      <t>项</t>
    </r>
    <r>
      <rPr>
        <b/>
        <sz val="10"/>
        <rFont val="Arial Narrow"/>
        <family val="2"/>
      </rPr>
      <t xml:space="preserve">      </t>
    </r>
    <r>
      <rPr>
        <b/>
        <sz val="10"/>
        <rFont val="宋体"/>
        <family val="3"/>
        <charset val="134"/>
      </rPr>
      <t>目</t>
    </r>
  </si>
  <si>
    <t>账面净值</t>
  </si>
  <si>
    <t>A</t>
  </si>
  <si>
    <t>B</t>
    <phoneticPr fontId="6" type="noConversion"/>
  </si>
  <si>
    <t>流动资产</t>
  </si>
  <si>
    <t>非流动资产</t>
  </si>
  <si>
    <t>其中：</t>
  </si>
  <si>
    <t>在建工程</t>
  </si>
  <si>
    <t>商誉</t>
  </si>
  <si>
    <t>长期待摊费用</t>
    <phoneticPr fontId="6" type="noConversion"/>
  </si>
  <si>
    <t>流动负债</t>
  </si>
  <si>
    <t>非流动负债</t>
  </si>
  <si>
    <t>负债总计</t>
  </si>
  <si>
    <r>
      <t>净资产</t>
    </r>
    <r>
      <rPr>
        <b/>
        <sz val="10"/>
        <rFont val="Arial Narrow"/>
        <family val="2"/>
      </rPr>
      <t>(</t>
    </r>
    <r>
      <rPr>
        <b/>
        <sz val="10"/>
        <rFont val="宋体"/>
        <family val="3"/>
        <charset val="134"/>
      </rPr>
      <t>所有者权益</t>
    </r>
    <r>
      <rPr>
        <b/>
        <sz val="10"/>
        <rFont val="Arial Narrow"/>
        <family val="2"/>
      </rPr>
      <t>)</t>
    </r>
  </si>
  <si>
    <t>市场法评估价值</t>
    <phoneticPr fontId="6" type="noConversion"/>
  </si>
  <si>
    <t>C=B-A</t>
    <phoneticPr fontId="6" type="noConversion"/>
  </si>
  <si>
    <t>市场法增值率%</t>
    <phoneticPr fontId="6" type="noConversion"/>
  </si>
  <si>
    <t>D=C/A*100%</t>
    <phoneticPr fontId="2" type="noConversion"/>
  </si>
  <si>
    <t>一般</t>
  </si>
  <si>
    <t>优秀</t>
  </si>
  <si>
    <t>300520.SZ</t>
  </si>
  <si>
    <t>科大国创</t>
  </si>
  <si>
    <t>300047.SZ</t>
  </si>
  <si>
    <t>天源迪科</t>
  </si>
  <si>
    <t>300166.SZ</t>
  </si>
  <si>
    <t>东方国信</t>
  </si>
  <si>
    <t xml:space="preserve">    资产处置收益</t>
    <phoneticPr fontId="2" type="noConversion"/>
  </si>
  <si>
    <t xml:space="preserve">    信用减值损失（损失以“-”号填列）</t>
    <phoneticPr fontId="2" type="noConversion"/>
  </si>
  <si>
    <t xml:space="preserve">    资产减值损失（损失以“-”号填列）</t>
    <phoneticPr fontId="2" type="noConversion"/>
  </si>
  <si>
    <t>300608.SZ</t>
  </si>
  <si>
    <t>300379.SZ</t>
  </si>
  <si>
    <t>非经营性资产</t>
    <phoneticPr fontId="242" type="noConversion"/>
  </si>
  <si>
    <t>备注</t>
    <phoneticPr fontId="242" type="noConversion"/>
  </si>
  <si>
    <t xml:space="preserve">                扣除非经常性损益后的归属母公司股东净利润</t>
  </si>
  <si>
    <t xml:space="preserve">                  其中：应收票据</t>
  </si>
  <si>
    <t xml:space="preserve">                        应收账款</t>
  </si>
  <si>
    <t xml:space="preserve">                预付款项</t>
  </si>
  <si>
    <t>股权转让款</t>
    <phoneticPr fontId="242" type="noConversion"/>
  </si>
  <si>
    <t>理财产品利息</t>
    <phoneticPr fontId="242" type="noConversion"/>
  </si>
  <si>
    <t>预付投资款</t>
    <phoneticPr fontId="242" type="noConversion"/>
  </si>
  <si>
    <t>股权回购款+退税</t>
    <phoneticPr fontId="242" type="noConversion"/>
  </si>
  <si>
    <t>股权激励款</t>
    <phoneticPr fontId="242" type="noConversion"/>
  </si>
  <si>
    <t>长期应收款</t>
    <phoneticPr fontId="242" type="noConversion"/>
  </si>
  <si>
    <t>预提预缴税费</t>
    <phoneticPr fontId="242" type="noConversion"/>
  </si>
  <si>
    <t>预缴税金</t>
    <phoneticPr fontId="242" type="noConversion"/>
  </si>
  <si>
    <t>待抵扣进项税</t>
    <phoneticPr fontId="242" type="noConversion"/>
  </si>
  <si>
    <t>税费重分类+定期存款及应收利息</t>
    <phoneticPr fontId="242" type="noConversion"/>
  </si>
  <si>
    <t>信用减值</t>
    <phoneticPr fontId="242" type="noConversion"/>
  </si>
  <si>
    <t>预付工程款及设备款</t>
    <phoneticPr fontId="242" type="noConversion"/>
  </si>
  <si>
    <t>预付设备工程款</t>
    <phoneticPr fontId="242" type="noConversion"/>
  </si>
  <si>
    <t>预付土地、设备款</t>
    <phoneticPr fontId="242" type="noConversion"/>
  </si>
  <si>
    <t>基建款</t>
    <phoneticPr fontId="242" type="noConversion"/>
  </si>
  <si>
    <t>基建款+购楼</t>
    <phoneticPr fontId="242" type="noConversion"/>
  </si>
  <si>
    <t>预付款</t>
    <phoneticPr fontId="242" type="noConversion"/>
  </si>
  <si>
    <t xml:space="preserve">                其中：应付票据</t>
  </si>
  <si>
    <t xml:space="preserve">                      应付账款</t>
  </si>
  <si>
    <t xml:space="preserve">                预收款项</t>
  </si>
  <si>
    <t>交易结算款</t>
    <phoneticPr fontId="242" type="noConversion"/>
  </si>
  <si>
    <t>限制性股票回购义务</t>
    <phoneticPr fontId="242" type="noConversion"/>
  </si>
  <si>
    <t>应付股权收购款</t>
    <phoneticPr fontId="242" type="noConversion"/>
  </si>
  <si>
    <t>待转销增值税</t>
    <phoneticPr fontId="242" type="noConversion"/>
  </si>
  <si>
    <t>待转销进项税</t>
    <phoneticPr fontId="242" type="noConversion"/>
  </si>
  <si>
    <t>预收款项税费</t>
    <phoneticPr fontId="242" type="noConversion"/>
  </si>
  <si>
    <t>政府补助</t>
    <phoneticPr fontId="242" type="noConversion"/>
  </si>
  <si>
    <t xml:space="preserve">                归属于母公司所有者权益合计</t>
  </si>
  <si>
    <t>非经营性资产（万元）</t>
    <phoneticPr fontId="242" type="noConversion"/>
  </si>
  <si>
    <t>付息债务（万元）</t>
    <phoneticPr fontId="242" type="noConversion"/>
  </si>
  <si>
    <t>总市值（万元）</t>
    <phoneticPr fontId="242" type="noConversion"/>
  </si>
  <si>
    <t>企业整体价值/研发费用</t>
    <phoneticPr fontId="242" type="noConversion"/>
  </si>
  <si>
    <t>EBITDA</t>
    <phoneticPr fontId="242" type="noConversion"/>
  </si>
  <si>
    <t>应收账款周转率</t>
    <phoneticPr fontId="2" type="noConversion"/>
  </si>
  <si>
    <t>规模指数</t>
    <phoneticPr fontId="242" type="noConversion"/>
  </si>
  <si>
    <t>东方通</t>
  </si>
  <si>
    <t>思特奇</t>
  </si>
  <si>
    <t>　　减：股份支付涉及的税</t>
    <phoneticPr fontId="2" type="noConversion"/>
  </si>
  <si>
    <t>　　加：营业利润差额(特殊报表科目)-股份支付</t>
    <phoneticPr fontId="2" type="noConversion"/>
  </si>
  <si>
    <t>非上市公司并购市盈率与上市公司市盈率比较
计算非流动性折扣比例表（2021）</t>
    <phoneticPr fontId="6" type="noConversion"/>
  </si>
  <si>
    <r>
      <rPr>
        <b/>
        <sz val="12"/>
        <color indexed="8"/>
        <rFont val="宋体"/>
        <family val="3"/>
        <charset val="134"/>
      </rPr>
      <t>序号</t>
    </r>
    <phoneticPr fontId="6" type="noConversion"/>
  </si>
  <si>
    <r>
      <rPr>
        <b/>
        <sz val="12"/>
        <color indexed="8"/>
        <rFont val="宋体"/>
        <family val="3"/>
        <charset val="134"/>
      </rPr>
      <t>非上市公司并购</t>
    </r>
    <phoneticPr fontId="6" type="noConversion"/>
  </si>
  <si>
    <r>
      <rPr>
        <b/>
        <sz val="12"/>
        <color indexed="8"/>
        <rFont val="宋体"/>
        <family val="3"/>
        <charset val="134"/>
      </rPr>
      <t>上市公司</t>
    </r>
    <phoneticPr fontId="6" type="noConversion"/>
  </si>
  <si>
    <t>非流动性折扣比例</t>
    <phoneticPr fontId="6" type="noConversion"/>
  </si>
  <si>
    <r>
      <rPr>
        <b/>
        <sz val="12"/>
        <color indexed="8"/>
        <rFont val="宋体"/>
        <family val="3"/>
        <charset val="134"/>
      </rPr>
      <t>样本点数量</t>
    </r>
    <phoneticPr fontId="6" type="noConversion"/>
  </si>
  <si>
    <t>采矿业</t>
  </si>
  <si>
    <t>电力、热力生产和供应业</t>
  </si>
  <si>
    <t xml:space="preserve">水的生产和供应业  </t>
  </si>
  <si>
    <t>房地产业</t>
  </si>
  <si>
    <t>建筑业</t>
    <phoneticPr fontId="6" type="noConversion"/>
  </si>
  <si>
    <t>运输业</t>
  </si>
  <si>
    <t>教育</t>
  </si>
  <si>
    <t>货币金融服务</t>
  </si>
  <si>
    <t>其他金融业</t>
  </si>
  <si>
    <t>资本市场服务</t>
  </si>
  <si>
    <t>科学研究和技术服务业</t>
    <phoneticPr fontId="6" type="noConversion"/>
  </si>
  <si>
    <t>农、林、牧、渔业</t>
    <phoneticPr fontId="6" type="noConversion"/>
  </si>
  <si>
    <t>零售业</t>
  </si>
  <si>
    <t>批发业</t>
  </si>
  <si>
    <t>生态保护和环境治理业</t>
  </si>
  <si>
    <t>卫生和社会工作</t>
  </si>
  <si>
    <t>文化、体育和娱乐业</t>
    <phoneticPr fontId="6" type="noConversion"/>
  </si>
  <si>
    <t>互联网和相关服务</t>
  </si>
  <si>
    <t>软件和信息技术服务业</t>
  </si>
  <si>
    <t xml:space="preserve">电气机械和器材制造业 </t>
  </si>
  <si>
    <t>纺织业</t>
  </si>
  <si>
    <t>非金属矿物制品业</t>
  </si>
  <si>
    <t xml:space="preserve">黑色金属冶炼和压延加工业 </t>
  </si>
  <si>
    <t>化学原料和化学制品制造业</t>
  </si>
  <si>
    <t>计算机、通信和其他电子设备制造业</t>
  </si>
  <si>
    <t xml:space="preserve">金属制品业 </t>
  </si>
  <si>
    <t>汽车制造业</t>
  </si>
  <si>
    <t>食品制造业</t>
  </si>
  <si>
    <t>通用设备制造业</t>
  </si>
  <si>
    <t>橡胶和塑料制品业</t>
  </si>
  <si>
    <t>医药制造业</t>
  </si>
  <si>
    <t>仪器仪表制造业</t>
  </si>
  <si>
    <t xml:space="preserve">有色金属冶炼和压延加工业 </t>
  </si>
  <si>
    <t xml:space="preserve">专用设备制造业 </t>
  </si>
  <si>
    <t>商务服务业</t>
  </si>
  <si>
    <t>租赁业</t>
  </si>
  <si>
    <r>
      <rPr>
        <b/>
        <sz val="12"/>
        <color indexed="8"/>
        <rFont val="宋体"/>
        <family val="3"/>
        <charset val="134"/>
      </rPr>
      <t>合计</t>
    </r>
    <r>
      <rPr>
        <b/>
        <sz val="12"/>
        <color indexed="8"/>
        <rFont val="Times New Roman"/>
        <family val="1"/>
      </rPr>
      <t>/</t>
    </r>
    <r>
      <rPr>
        <b/>
        <sz val="12"/>
        <color indexed="8"/>
        <rFont val="宋体"/>
        <family val="3"/>
        <charset val="134"/>
      </rPr>
      <t>平均值</t>
    </r>
    <phoneticPr fontId="6" type="noConversion"/>
  </si>
  <si>
    <r>
      <rPr>
        <sz val="10"/>
        <color indexed="8"/>
        <rFont val="宋体"/>
        <family val="3"/>
        <charset val="134"/>
      </rPr>
      <t>原始数据来源：产权交易所、</t>
    </r>
    <r>
      <rPr>
        <sz val="10"/>
        <color indexed="8"/>
        <rFont val="Times New Roman"/>
        <family val="1"/>
      </rPr>
      <t>Wind</t>
    </r>
    <r>
      <rPr>
        <sz val="10"/>
        <color indexed="8"/>
        <rFont val="宋体"/>
        <family val="3"/>
        <charset val="134"/>
      </rPr>
      <t>资讯、</t>
    </r>
    <r>
      <rPr>
        <sz val="10"/>
        <color indexed="8"/>
        <rFont val="Times New Roman"/>
        <family val="1"/>
      </rPr>
      <t>CVSource</t>
    </r>
    <phoneticPr fontId="6" type="noConversion"/>
  </si>
  <si>
    <t>标的公司</t>
    <phoneticPr fontId="2" type="noConversion"/>
  </si>
  <si>
    <r>
      <rPr>
        <sz val="9"/>
        <color theme="1"/>
        <rFont val="宋体"/>
        <family val="3"/>
        <charset val="134"/>
      </rPr>
      <t>总市值</t>
    </r>
    <r>
      <rPr>
        <sz val="9"/>
        <color theme="1"/>
        <rFont val="宋体"/>
        <family val="3"/>
        <charset val="134"/>
      </rPr>
      <t xml:space="preserve">
</t>
    </r>
    <r>
      <rPr>
        <sz val="9"/>
        <color theme="1"/>
        <rFont val="Times New Roman"/>
        <family val="1"/>
      </rPr>
      <t>[</t>
    </r>
    <r>
      <rPr>
        <sz val="9"/>
        <color theme="1"/>
        <rFont val="宋体"/>
        <family val="3"/>
        <charset val="134"/>
      </rPr>
      <t>交易日期</t>
    </r>
    <r>
      <rPr>
        <sz val="9"/>
        <color theme="1"/>
        <rFont val="Times New Roman"/>
        <family val="1"/>
      </rPr>
      <t>]  20211231
[</t>
    </r>
    <r>
      <rPr>
        <sz val="9"/>
        <color theme="1"/>
        <rFont val="宋体"/>
        <family val="3"/>
        <charset val="134"/>
      </rPr>
      <t>单位</t>
    </r>
    <r>
      <rPr>
        <sz val="9"/>
        <color theme="1"/>
        <rFont val="Times New Roman"/>
        <family val="1"/>
      </rPr>
      <t xml:space="preserve">]  </t>
    </r>
    <r>
      <rPr>
        <sz val="9"/>
        <color theme="1"/>
        <rFont val="宋体"/>
        <family val="3"/>
        <charset val="134"/>
      </rPr>
      <t>万元</t>
    </r>
    <phoneticPr fontId="2" type="noConversion"/>
  </si>
  <si>
    <t>归属母公司净利润</t>
    <phoneticPr fontId="2" type="noConversion"/>
  </si>
  <si>
    <r>
      <rPr>
        <sz val="9"/>
        <color theme="1"/>
        <rFont val="宋体"/>
        <family val="3"/>
        <charset val="134"/>
      </rPr>
      <t xml:space="preserve">溢余资产、非经营性资产
</t>
    </r>
    <r>
      <rPr>
        <sz val="9"/>
        <color theme="1"/>
        <rFont val="Times New Roman"/>
        <family val="1"/>
      </rPr>
      <t>[</t>
    </r>
    <r>
      <rPr>
        <sz val="9"/>
        <color theme="1"/>
        <rFont val="宋体"/>
        <family val="3"/>
        <charset val="134"/>
      </rPr>
      <t>报告期</t>
    </r>
    <r>
      <rPr>
        <sz val="9"/>
        <color theme="1"/>
        <rFont val="Times New Roman"/>
        <family val="1"/>
      </rPr>
      <t>]  20200930
[</t>
    </r>
    <r>
      <rPr>
        <sz val="9"/>
        <color theme="1"/>
        <rFont val="宋体"/>
        <family val="3"/>
        <charset val="134"/>
      </rPr>
      <t>单位</t>
    </r>
    <r>
      <rPr>
        <sz val="9"/>
        <color theme="1"/>
        <rFont val="Times New Roman"/>
        <family val="1"/>
      </rPr>
      <t xml:space="preserve">]  </t>
    </r>
    <r>
      <rPr>
        <sz val="9"/>
        <color theme="1"/>
        <rFont val="宋体"/>
        <family val="3"/>
        <charset val="134"/>
      </rPr>
      <t>万元</t>
    </r>
    <phoneticPr fontId="2" type="noConversion"/>
  </si>
  <si>
    <t>P/E</t>
    <phoneticPr fontId="2" type="noConversion"/>
  </si>
  <si>
    <t>科大国创</t>
    <phoneticPr fontId="2" type="noConversion"/>
  </si>
  <si>
    <t>思特奇</t>
    <phoneticPr fontId="2" type="noConversion"/>
  </si>
  <si>
    <t>东方国信</t>
    <phoneticPr fontId="2" type="noConversion"/>
  </si>
  <si>
    <r>
      <rPr>
        <sz val="9"/>
        <color theme="1"/>
        <rFont val="宋体"/>
        <family val="3"/>
        <charset val="134"/>
      </rPr>
      <t xml:space="preserve">带息债务
</t>
    </r>
    <r>
      <rPr>
        <sz val="9"/>
        <color theme="1"/>
        <rFont val="Times New Roman"/>
        <family val="1"/>
      </rPr>
      <t>[</t>
    </r>
    <r>
      <rPr>
        <sz val="9"/>
        <color theme="1"/>
        <rFont val="宋体"/>
        <family val="3"/>
        <charset val="134"/>
      </rPr>
      <t>报告期</t>
    </r>
    <r>
      <rPr>
        <sz val="9"/>
        <color theme="1"/>
        <rFont val="Times New Roman"/>
        <family val="1"/>
      </rPr>
      <t>]  20210930
[</t>
    </r>
    <r>
      <rPr>
        <sz val="9"/>
        <color theme="1"/>
        <rFont val="宋体"/>
        <family val="3"/>
        <charset val="134"/>
      </rPr>
      <t>单位</t>
    </r>
    <r>
      <rPr>
        <sz val="9"/>
        <color theme="1"/>
        <rFont val="Times New Roman"/>
        <family val="1"/>
      </rPr>
      <t xml:space="preserve">]  </t>
    </r>
    <r>
      <rPr>
        <sz val="9"/>
        <color theme="1"/>
        <rFont val="宋体"/>
        <family val="3"/>
        <charset val="134"/>
      </rPr>
      <t>万元</t>
    </r>
    <phoneticPr fontId="2" type="noConversion"/>
  </si>
  <si>
    <r>
      <rPr>
        <sz val="9"/>
        <color theme="1"/>
        <rFont val="宋体"/>
        <family val="3"/>
        <charset val="134"/>
      </rPr>
      <t>企业整体价值</t>
    </r>
    <r>
      <rPr>
        <sz val="9"/>
        <color theme="1"/>
        <rFont val="Times New Roman"/>
        <family val="1"/>
      </rPr>
      <t>/</t>
    </r>
    <r>
      <rPr>
        <sz val="9"/>
        <color theme="1"/>
        <rFont val="宋体"/>
        <family val="3"/>
        <charset val="134"/>
      </rPr>
      <t>息税前利润（</t>
    </r>
    <r>
      <rPr>
        <sz val="9"/>
        <color theme="1"/>
        <rFont val="Times New Roman"/>
        <family val="1"/>
      </rPr>
      <t>EV/EBIT</t>
    </r>
    <r>
      <rPr>
        <sz val="9"/>
        <color theme="1"/>
        <rFont val="宋体"/>
        <family val="3"/>
        <charset val="134"/>
      </rPr>
      <t xml:space="preserve">）
</t>
    </r>
    <r>
      <rPr>
        <sz val="9"/>
        <color theme="1"/>
        <rFont val="Times New Roman"/>
        <family val="1"/>
      </rPr>
      <t>[</t>
    </r>
    <r>
      <rPr>
        <sz val="9"/>
        <color theme="1"/>
        <rFont val="宋体"/>
        <family val="3"/>
        <charset val="134"/>
      </rPr>
      <t>报告期</t>
    </r>
    <r>
      <rPr>
        <sz val="9"/>
        <color theme="1"/>
        <rFont val="Times New Roman"/>
        <family val="1"/>
      </rPr>
      <t>]  20211231</t>
    </r>
    <r>
      <rPr>
        <sz val="9"/>
        <color theme="1"/>
        <rFont val="宋体"/>
        <family val="3"/>
        <charset val="134"/>
      </rPr>
      <t>（预测）</t>
    </r>
    <r>
      <rPr>
        <sz val="9"/>
        <color theme="1"/>
        <rFont val="Times New Roman"/>
        <family val="1"/>
      </rPr>
      <t xml:space="preserve">
[</t>
    </r>
    <r>
      <rPr>
        <sz val="9"/>
        <color theme="1"/>
        <rFont val="宋体"/>
        <family val="3"/>
        <charset val="134"/>
      </rPr>
      <t>单位</t>
    </r>
    <r>
      <rPr>
        <sz val="9"/>
        <color theme="1"/>
        <rFont val="Times New Roman"/>
        <family val="1"/>
      </rPr>
      <t>]  %</t>
    </r>
    <phoneticPr fontId="2" type="noConversion"/>
  </si>
  <si>
    <r>
      <rPr>
        <sz val="9"/>
        <color theme="1"/>
        <rFont val="宋体"/>
        <family val="3"/>
        <charset val="134"/>
      </rPr>
      <t xml:space="preserve">净利润
</t>
    </r>
    <r>
      <rPr>
        <sz val="9"/>
        <color theme="1"/>
        <rFont val="Times New Roman"/>
        <family val="1"/>
      </rPr>
      <t>[</t>
    </r>
    <r>
      <rPr>
        <sz val="9"/>
        <color theme="1"/>
        <rFont val="宋体"/>
        <family val="3"/>
        <charset val="134"/>
      </rPr>
      <t>报告期</t>
    </r>
    <r>
      <rPr>
        <sz val="9"/>
        <color theme="1"/>
        <rFont val="Times New Roman"/>
        <family val="1"/>
      </rPr>
      <t>]  20211231（</t>
    </r>
    <r>
      <rPr>
        <sz val="9"/>
        <color theme="1"/>
        <rFont val="宋体"/>
        <family val="3"/>
        <charset val="134"/>
      </rPr>
      <t>预测</t>
    </r>
    <r>
      <rPr>
        <sz val="9"/>
        <color theme="1"/>
        <rFont val="Times New Roman"/>
        <family val="1"/>
      </rPr>
      <t>）
[</t>
    </r>
    <r>
      <rPr>
        <sz val="9"/>
        <color theme="1"/>
        <rFont val="宋体"/>
        <family val="3"/>
        <charset val="134"/>
      </rPr>
      <t>单位</t>
    </r>
    <r>
      <rPr>
        <sz val="9"/>
        <color theme="1"/>
        <rFont val="Times New Roman"/>
        <family val="1"/>
      </rPr>
      <t xml:space="preserve">]  </t>
    </r>
    <r>
      <rPr>
        <sz val="9"/>
        <color theme="1"/>
        <rFont val="宋体"/>
        <family val="3"/>
        <charset val="134"/>
      </rPr>
      <t>万元</t>
    </r>
    <phoneticPr fontId="2" type="noConversion"/>
  </si>
  <si>
    <r>
      <rPr>
        <sz val="9"/>
        <color theme="1"/>
        <rFont val="宋体"/>
        <family val="2"/>
        <charset val="134"/>
      </rPr>
      <t>修正系数</t>
    </r>
    <phoneticPr fontId="2" type="noConversion"/>
  </si>
  <si>
    <r>
      <rPr>
        <sz val="9"/>
        <color theme="1"/>
        <rFont val="宋体"/>
        <family val="3"/>
        <charset val="134"/>
      </rPr>
      <t>企业整体价值</t>
    </r>
    <r>
      <rPr>
        <sz val="9"/>
        <color theme="1"/>
        <rFont val="Times New Roman"/>
        <family val="1"/>
      </rPr>
      <t>/</t>
    </r>
    <r>
      <rPr>
        <sz val="9"/>
        <color theme="1"/>
        <rFont val="宋体"/>
        <family val="3"/>
        <charset val="134"/>
      </rPr>
      <t>息税前利润（</t>
    </r>
    <r>
      <rPr>
        <sz val="9"/>
        <color theme="1"/>
        <rFont val="Times New Roman"/>
        <family val="1"/>
      </rPr>
      <t>EV/EBIT</t>
    </r>
    <r>
      <rPr>
        <sz val="9"/>
        <color theme="1"/>
        <rFont val="宋体"/>
        <family val="3"/>
        <charset val="134"/>
      </rPr>
      <t xml:space="preserve">）修正后
</t>
    </r>
    <r>
      <rPr>
        <sz val="9"/>
        <color theme="1"/>
        <rFont val="Times New Roman"/>
        <family val="1"/>
      </rPr>
      <t>[</t>
    </r>
    <r>
      <rPr>
        <sz val="9"/>
        <color theme="1"/>
        <rFont val="宋体"/>
        <family val="3"/>
        <charset val="134"/>
      </rPr>
      <t>报告期</t>
    </r>
    <r>
      <rPr>
        <sz val="9"/>
        <color theme="1"/>
        <rFont val="Times New Roman"/>
        <family val="1"/>
      </rPr>
      <t>]  20211231</t>
    </r>
    <r>
      <rPr>
        <sz val="9"/>
        <color theme="1"/>
        <rFont val="宋体"/>
        <family val="3"/>
        <charset val="134"/>
      </rPr>
      <t>（预测）</t>
    </r>
    <r>
      <rPr>
        <sz val="9"/>
        <color theme="1"/>
        <rFont val="Times New Roman"/>
        <family val="1"/>
      </rPr>
      <t xml:space="preserve">
[</t>
    </r>
    <r>
      <rPr>
        <sz val="9"/>
        <color theme="1"/>
        <rFont val="宋体"/>
        <family val="3"/>
        <charset val="134"/>
      </rPr>
      <t>单位</t>
    </r>
    <r>
      <rPr>
        <sz val="9"/>
        <color theme="1"/>
        <rFont val="Times New Roman"/>
        <family val="1"/>
      </rPr>
      <t>]  %</t>
    </r>
    <phoneticPr fontId="2" type="noConversion"/>
  </si>
  <si>
    <t>平均值</t>
    <phoneticPr fontId="2" type="noConversion"/>
  </si>
  <si>
    <t>采用指标</t>
    <phoneticPr fontId="2" type="noConversion"/>
  </si>
  <si>
    <t>EV/EBIT</t>
    <phoneticPr fontId="2" type="noConversion"/>
  </si>
  <si>
    <t>行业名称</t>
    <phoneticPr fontId="6" type="noConversion"/>
  </si>
  <si>
    <t>　　加：营业利润差额(特殊报表科目)</t>
    <phoneticPr fontId="2" type="noConversion"/>
  </si>
  <si>
    <r>
      <rPr>
        <b/>
        <sz val="10"/>
        <color indexed="8"/>
        <rFont val="宋体"/>
        <family val="3"/>
        <charset val="134"/>
      </rPr>
      <t>资本充足率</t>
    </r>
    <r>
      <rPr>
        <b/>
        <sz val="10"/>
        <color indexed="8"/>
        <rFont val="Times New Roman"/>
        <family val="1"/>
      </rPr>
      <t>%</t>
    </r>
    <phoneticPr fontId="6" type="noConversion"/>
  </si>
  <si>
    <r>
      <rPr>
        <b/>
        <sz val="10"/>
        <color indexed="8"/>
        <rFont val="宋体"/>
        <family val="3"/>
        <charset val="134"/>
      </rPr>
      <t>核心资本充足率</t>
    </r>
    <r>
      <rPr>
        <b/>
        <sz val="10"/>
        <color indexed="8"/>
        <rFont val="Times New Roman"/>
        <family val="1"/>
      </rPr>
      <t>%</t>
    </r>
    <phoneticPr fontId="6" type="noConversion"/>
  </si>
  <si>
    <t>发放贷款及垫款
[报告期]  2023年报
[报表类型]  合并报表
[单位]  万元</t>
  </si>
  <si>
    <t>资产总计
[报告期]  2023年报
[报表类型]  合并报表
[单位]  万元</t>
  </si>
  <si>
    <t>600908.SH</t>
  </si>
  <si>
    <t>无锡银行</t>
  </si>
  <si>
    <t>601128.SH</t>
  </si>
  <si>
    <t>常熟银行</t>
  </si>
  <si>
    <t>601860.SH</t>
  </si>
  <si>
    <t>紫金银行</t>
  </si>
  <si>
    <t>603323.SH</t>
  </si>
  <si>
    <t>苏农银行</t>
  </si>
  <si>
    <t>002807.SZ</t>
  </si>
  <si>
    <t>江阴银行</t>
  </si>
  <si>
    <t>002839.SZ</t>
  </si>
  <si>
    <t>张家港行</t>
  </si>
  <si>
    <t>大丰农商</t>
    <phoneticPr fontId="2" type="noConversion"/>
  </si>
  <si>
    <t>盈利能力</t>
    <phoneticPr fontId="2" type="noConversion"/>
  </si>
  <si>
    <t>资本利润率%</t>
    <phoneticPr fontId="6" type="noConversion"/>
  </si>
  <si>
    <t>资产利润率%</t>
    <phoneticPr fontId="6" type="noConversion"/>
  </si>
  <si>
    <t>成本收入比%</t>
    <phoneticPr fontId="6" type="noConversion"/>
  </si>
  <si>
    <t>利润增长率%</t>
    <phoneticPr fontId="6" type="noConversion"/>
  </si>
  <si>
    <t>不良贷款率%</t>
    <phoneticPr fontId="6" type="noConversion"/>
  </si>
  <si>
    <t>拨备覆盖率%</t>
    <phoneticPr fontId="6" type="noConversion"/>
  </si>
  <si>
    <t>资本充足率%</t>
    <phoneticPr fontId="6" type="noConversion"/>
  </si>
  <si>
    <r>
      <rPr>
        <b/>
        <sz val="10"/>
        <color indexed="8"/>
        <rFont val="宋体"/>
        <family val="3"/>
        <charset val="134"/>
        <scheme val="minor"/>
      </rPr>
      <t>资产质量</t>
    </r>
    <phoneticPr fontId="6" type="noConversion"/>
  </si>
  <si>
    <r>
      <rPr>
        <b/>
        <sz val="10"/>
        <color indexed="8"/>
        <rFont val="宋体"/>
        <family val="3"/>
        <charset val="134"/>
        <scheme val="minor"/>
      </rPr>
      <t>偿付能力</t>
    </r>
    <phoneticPr fontId="6" type="noConversion"/>
  </si>
  <si>
    <r>
      <t>核心</t>
    </r>
    <r>
      <rPr>
        <b/>
        <sz val="10"/>
        <color rgb="FF000000"/>
        <rFont val="宋体"/>
        <family val="3"/>
        <charset val="134"/>
        <scheme val="minor"/>
      </rPr>
      <t>一级</t>
    </r>
    <r>
      <rPr>
        <b/>
        <sz val="10"/>
        <color indexed="8"/>
        <rFont val="宋体"/>
        <family val="3"/>
        <charset val="134"/>
        <scheme val="minor"/>
      </rPr>
      <t>资本充足率%</t>
    </r>
    <phoneticPr fontId="6" type="noConversion"/>
  </si>
  <si>
    <t>资产负债表</t>
  </si>
  <si>
    <t>利润表</t>
  </si>
  <si>
    <t>单位：万元</t>
  </si>
  <si>
    <t>科目名称</t>
  </si>
  <si>
    <t>资产：</t>
  </si>
  <si>
    <t xml:space="preserve">  现金及存放中央银行款项</t>
  </si>
  <si>
    <t>利息净收入</t>
  </si>
  <si>
    <t xml:space="preserve">  利息收入</t>
  </si>
  <si>
    <t xml:space="preserve">  利息支出</t>
  </si>
  <si>
    <t xml:space="preserve">  存放同业款项</t>
  </si>
  <si>
    <t>手续费及佣金净收入</t>
  </si>
  <si>
    <t xml:space="preserve">  手续费及佣金收入</t>
  </si>
  <si>
    <t xml:space="preserve">  拆出资金</t>
  </si>
  <si>
    <t xml:space="preserve">  手续费及佣金支出</t>
  </si>
  <si>
    <t xml:space="preserve">  其中：对联营公司的投资收益</t>
  </si>
  <si>
    <t xml:space="preserve">  买入返售金融资产</t>
  </si>
  <si>
    <t>其他应收款</t>
  </si>
  <si>
    <t>汇兑损益</t>
  </si>
  <si>
    <t>其他债权投资</t>
  </si>
  <si>
    <t>其他收益</t>
  </si>
  <si>
    <t>债权投资</t>
  </si>
  <si>
    <t>其他权益工具投资</t>
  </si>
  <si>
    <t>税金及附加</t>
  </si>
  <si>
    <t>抵债资产</t>
  </si>
  <si>
    <t xml:space="preserve">  递延所得税资产</t>
  </si>
  <si>
    <t xml:space="preserve">  其他资产</t>
  </si>
  <si>
    <t>负债：</t>
  </si>
  <si>
    <t xml:space="preserve">  向中央银行借款</t>
  </si>
  <si>
    <t xml:space="preserve">  同业存放款项</t>
  </si>
  <si>
    <t>历史数据</t>
  </si>
  <si>
    <t xml:space="preserve">  拆入资金</t>
  </si>
  <si>
    <t xml:space="preserve">  卖出回购金融资产款</t>
  </si>
  <si>
    <t xml:space="preserve">  吸收存款</t>
  </si>
  <si>
    <t xml:space="preserve">  应付职工薪酬</t>
  </si>
  <si>
    <t xml:space="preserve">  应交税费</t>
  </si>
  <si>
    <t xml:space="preserve">  应付股利</t>
  </si>
  <si>
    <t xml:space="preserve">  其他负债</t>
  </si>
  <si>
    <t>所有者权益：</t>
  </si>
  <si>
    <t xml:space="preserve">   股本</t>
  </si>
  <si>
    <t xml:space="preserve">  资本公积</t>
  </si>
  <si>
    <t xml:space="preserve">  减：库存股</t>
  </si>
  <si>
    <t xml:space="preserve">  其他综合收益</t>
  </si>
  <si>
    <t xml:space="preserve">  盈余公积</t>
  </si>
  <si>
    <t xml:space="preserve">  一般风险准备</t>
  </si>
  <si>
    <t xml:space="preserve">  未分配利润</t>
  </si>
  <si>
    <t>所有者权益合计</t>
  </si>
  <si>
    <t>CHECK</t>
  </si>
  <si>
    <r>
      <rPr>
        <sz val="10"/>
        <color indexed="8"/>
        <rFont val="宋体"/>
        <family val="3"/>
        <charset val="134"/>
      </rPr>
      <t>评价内容</t>
    </r>
    <phoneticPr fontId="6" type="noConversion"/>
  </si>
  <si>
    <r>
      <rPr>
        <sz val="10"/>
        <color indexed="8"/>
        <rFont val="宋体"/>
        <family val="3"/>
        <charset val="134"/>
      </rPr>
      <t>银行类</t>
    </r>
    <phoneticPr fontId="6" type="noConversion"/>
  </si>
  <si>
    <r>
      <rPr>
        <sz val="10"/>
        <color indexed="8"/>
        <rFont val="宋体"/>
        <family val="3"/>
        <charset val="134"/>
      </rPr>
      <t>选取指标</t>
    </r>
    <phoneticPr fontId="6" type="noConversion"/>
  </si>
  <si>
    <r>
      <rPr>
        <sz val="10"/>
        <color indexed="8"/>
        <rFont val="宋体"/>
        <family val="3"/>
        <charset val="134"/>
      </rPr>
      <t>指标</t>
    </r>
    <phoneticPr fontId="6" type="noConversion"/>
  </si>
  <si>
    <r>
      <rPr>
        <sz val="10"/>
        <color indexed="8"/>
        <rFont val="宋体"/>
        <family val="3"/>
        <charset val="134"/>
      </rPr>
      <t>权重</t>
    </r>
    <r>
      <rPr>
        <sz val="10"/>
        <color indexed="8"/>
        <rFont val="Times New Roman"/>
        <family val="1"/>
      </rPr>
      <t>(%)</t>
    </r>
    <phoneticPr fontId="6" type="noConversion"/>
  </si>
  <si>
    <r>
      <rPr>
        <sz val="10"/>
        <color indexed="8"/>
        <rFont val="宋体"/>
        <family val="3"/>
        <charset val="134"/>
      </rPr>
      <t>权数</t>
    </r>
    <phoneticPr fontId="6" type="noConversion"/>
  </si>
  <si>
    <r>
      <rPr>
        <sz val="10"/>
        <color indexed="8"/>
        <rFont val="宋体"/>
        <family val="3"/>
        <charset val="134"/>
      </rPr>
      <t>盈利能力状况</t>
    </r>
    <phoneticPr fontId="6" type="noConversion"/>
  </si>
  <si>
    <t>30-60</t>
    <phoneticPr fontId="6" type="noConversion"/>
  </si>
  <si>
    <t>资本利润率</t>
    <phoneticPr fontId="6" type="noConversion"/>
  </si>
  <si>
    <r>
      <rPr>
        <sz val="10"/>
        <color indexed="8"/>
        <rFont val="宋体"/>
        <family val="3"/>
        <charset val="134"/>
      </rPr>
      <t>资本利润率（净资产收益率）</t>
    </r>
    <r>
      <rPr>
        <sz val="10"/>
        <color indexed="8"/>
        <rFont val="Times New Roman"/>
        <family val="1"/>
      </rPr>
      <t>=</t>
    </r>
    <r>
      <rPr>
        <sz val="10"/>
        <color indexed="8"/>
        <rFont val="宋体"/>
        <family val="3"/>
        <charset val="134"/>
      </rPr>
      <t>净利润</t>
    </r>
    <r>
      <rPr>
        <sz val="10"/>
        <color indexed="8"/>
        <rFont val="Times New Roman"/>
        <family val="1"/>
      </rPr>
      <t>/</t>
    </r>
    <r>
      <rPr>
        <sz val="10"/>
        <color indexed="8"/>
        <rFont val="宋体"/>
        <family val="3"/>
        <charset val="134"/>
      </rPr>
      <t>净资产平均余额</t>
    </r>
    <r>
      <rPr>
        <sz val="10"/>
        <color indexed="8"/>
        <rFont val="Times New Roman"/>
        <family val="1"/>
      </rPr>
      <t xml:space="preserve">×100%
</t>
    </r>
    <r>
      <rPr>
        <sz val="10"/>
        <color indexed="8"/>
        <rFont val="宋体"/>
        <family val="3"/>
        <charset val="134"/>
      </rPr>
      <t>净资产平均余额＝（年初所有者权益余额＋年末所有者权益余额）</t>
    </r>
    <r>
      <rPr>
        <sz val="10"/>
        <color indexed="8"/>
        <rFont val="Times New Roman"/>
        <family val="1"/>
      </rPr>
      <t>/2</t>
    </r>
    <phoneticPr fontId="6" type="noConversion"/>
  </si>
  <si>
    <t>资产利润率</t>
    <phoneticPr fontId="6" type="noConversion"/>
  </si>
  <si>
    <r>
      <rPr>
        <sz val="10"/>
        <color indexed="8"/>
        <rFont val="宋体"/>
        <family val="3"/>
        <charset val="134"/>
      </rPr>
      <t>资产利润率（总资产报酬率）</t>
    </r>
    <r>
      <rPr>
        <sz val="10"/>
        <color indexed="8"/>
        <rFont val="Times New Roman"/>
        <family val="1"/>
      </rPr>
      <t>=</t>
    </r>
    <r>
      <rPr>
        <sz val="10"/>
        <color indexed="8"/>
        <rFont val="宋体"/>
        <family val="3"/>
        <charset val="134"/>
      </rPr>
      <t>利润总额</t>
    </r>
    <r>
      <rPr>
        <sz val="10"/>
        <color indexed="8"/>
        <rFont val="Times New Roman"/>
        <family val="1"/>
      </rPr>
      <t>/</t>
    </r>
    <r>
      <rPr>
        <sz val="10"/>
        <color indexed="8"/>
        <rFont val="宋体"/>
        <family val="3"/>
        <charset val="134"/>
      </rPr>
      <t>资产平均总额</t>
    </r>
    <r>
      <rPr>
        <sz val="10"/>
        <color indexed="8"/>
        <rFont val="Times New Roman"/>
        <family val="1"/>
      </rPr>
      <t xml:space="preserve">×100% 
</t>
    </r>
    <r>
      <rPr>
        <sz val="10"/>
        <color indexed="8"/>
        <rFont val="宋体"/>
        <family val="3"/>
        <charset val="134"/>
      </rPr>
      <t>资产平均总额＝（年初资产总额＋年末资产总额）</t>
    </r>
    <r>
      <rPr>
        <sz val="10"/>
        <color indexed="8"/>
        <rFont val="Times New Roman"/>
        <family val="1"/>
      </rPr>
      <t>/2</t>
    </r>
    <phoneticPr fontId="6" type="noConversion"/>
  </si>
  <si>
    <t>成本收入比</t>
    <phoneticPr fontId="6" type="noConversion"/>
  </si>
  <si>
    <r>
      <rPr>
        <sz val="10"/>
        <color indexed="8"/>
        <rFont val="宋体"/>
        <family val="3"/>
        <charset val="134"/>
      </rPr>
      <t>成本收入比＝营业费用</t>
    </r>
    <r>
      <rPr>
        <sz val="10"/>
        <color indexed="8"/>
        <rFont val="Times New Roman"/>
        <family val="1"/>
      </rPr>
      <t>/</t>
    </r>
    <r>
      <rPr>
        <sz val="10"/>
        <color indexed="8"/>
        <rFont val="宋体"/>
        <family val="3"/>
        <charset val="134"/>
      </rPr>
      <t>营业收入</t>
    </r>
    <r>
      <rPr>
        <sz val="10"/>
        <color indexed="8"/>
        <rFont val="Times New Roman"/>
        <family val="1"/>
      </rPr>
      <t>×100%</t>
    </r>
    <phoneticPr fontId="6" type="noConversion"/>
  </si>
  <si>
    <r>
      <rPr>
        <sz val="10"/>
        <color indexed="8"/>
        <rFont val="宋体"/>
        <family val="3"/>
        <charset val="134"/>
      </rPr>
      <t>经营增长状况</t>
    </r>
    <phoneticPr fontId="6" type="noConversion"/>
  </si>
  <si>
    <t>25-40</t>
    <phoneticPr fontId="6" type="noConversion"/>
  </si>
  <si>
    <r>
      <rPr>
        <sz val="10"/>
        <color indexed="8"/>
        <rFont val="宋体"/>
        <family val="3"/>
        <charset val="134"/>
      </rPr>
      <t>国有资本保值增值率</t>
    </r>
    <phoneticPr fontId="6" type="noConversion"/>
  </si>
  <si>
    <t>利润增长率</t>
    <phoneticPr fontId="6" type="noConversion"/>
  </si>
  <si>
    <r>
      <rPr>
        <sz val="10"/>
        <color indexed="8"/>
        <rFont val="宋体"/>
        <family val="3"/>
        <charset val="134"/>
      </rPr>
      <t>利润增长率＝（本年利润总额－上年利润总额）</t>
    </r>
    <r>
      <rPr>
        <sz val="10"/>
        <color indexed="8"/>
        <rFont val="Times New Roman"/>
        <family val="1"/>
      </rPr>
      <t>/</t>
    </r>
    <r>
      <rPr>
        <sz val="10"/>
        <color indexed="8"/>
        <rFont val="宋体"/>
        <family val="3"/>
        <charset val="134"/>
      </rPr>
      <t>上年利润总额</t>
    </r>
    <r>
      <rPr>
        <sz val="10"/>
        <color indexed="8"/>
        <rFont val="Times New Roman"/>
        <family val="1"/>
      </rPr>
      <t>×100%</t>
    </r>
    <phoneticPr fontId="6" type="noConversion"/>
  </si>
  <si>
    <r>
      <rPr>
        <sz val="10"/>
        <color indexed="8"/>
        <rFont val="宋体"/>
        <family val="3"/>
        <charset val="134"/>
      </rPr>
      <t>经济利润率</t>
    </r>
    <phoneticPr fontId="6" type="noConversion"/>
  </si>
  <si>
    <r>
      <rPr>
        <sz val="10"/>
        <color indexed="8"/>
        <rFont val="宋体"/>
        <family val="3"/>
        <charset val="134"/>
      </rPr>
      <t>经济利润率＝（净利润－净资产平均余额</t>
    </r>
    <r>
      <rPr>
        <sz val="10"/>
        <color indexed="8"/>
        <rFont val="Times New Roman"/>
        <family val="1"/>
      </rPr>
      <t>×</t>
    </r>
    <r>
      <rPr>
        <sz val="10"/>
        <color indexed="8"/>
        <rFont val="宋体"/>
        <family val="3"/>
        <charset val="134"/>
      </rPr>
      <t>资金成本）</t>
    </r>
    <r>
      <rPr>
        <sz val="10"/>
        <color indexed="8"/>
        <rFont val="Times New Roman"/>
        <family val="1"/>
      </rPr>
      <t>/</t>
    </r>
    <r>
      <rPr>
        <sz val="10"/>
        <color indexed="8"/>
        <rFont val="宋体"/>
        <family val="3"/>
        <charset val="134"/>
      </rPr>
      <t>净资产平均余额</t>
    </r>
    <r>
      <rPr>
        <sz val="10"/>
        <color indexed="8"/>
        <rFont val="Times New Roman"/>
        <family val="1"/>
      </rPr>
      <t>×100%</t>
    </r>
    <phoneticPr fontId="6" type="noConversion"/>
  </si>
  <si>
    <r>
      <rPr>
        <sz val="10"/>
        <color indexed="8"/>
        <rFont val="宋体"/>
        <family val="3"/>
        <charset val="134"/>
      </rPr>
      <t>资产质量状况</t>
    </r>
    <phoneticPr fontId="6" type="noConversion"/>
  </si>
  <si>
    <t>15-25</t>
    <phoneticPr fontId="6" type="noConversion"/>
  </si>
  <si>
    <r>
      <rPr>
        <sz val="10"/>
        <color indexed="8"/>
        <rFont val="宋体"/>
        <family val="3"/>
        <charset val="134"/>
      </rPr>
      <t>不良贷款率</t>
    </r>
    <phoneticPr fontId="6" type="noConversion"/>
  </si>
  <si>
    <r>
      <rPr>
        <sz val="10"/>
        <color indexed="8"/>
        <rFont val="宋体"/>
        <family val="3"/>
        <charset val="134"/>
      </rPr>
      <t>不良贷款率</t>
    </r>
    <r>
      <rPr>
        <sz val="10"/>
        <color indexed="8"/>
        <rFont val="Times New Roman"/>
        <family val="1"/>
      </rPr>
      <t>=</t>
    </r>
    <r>
      <rPr>
        <sz val="10"/>
        <color indexed="8"/>
        <rFont val="宋体"/>
        <family val="3"/>
        <charset val="134"/>
      </rPr>
      <t>（次级类贷款＋可疑类贷款＋损失类贷款）</t>
    </r>
    <r>
      <rPr>
        <sz val="10"/>
        <color indexed="8"/>
        <rFont val="Times New Roman"/>
        <family val="1"/>
      </rPr>
      <t>/</t>
    </r>
    <r>
      <rPr>
        <sz val="10"/>
        <color indexed="8"/>
        <rFont val="宋体"/>
        <family val="3"/>
        <charset val="134"/>
      </rPr>
      <t>各类贷款余额</t>
    </r>
    <r>
      <rPr>
        <sz val="10"/>
        <color indexed="8"/>
        <rFont val="Times New Roman"/>
        <family val="1"/>
      </rPr>
      <t>×100%</t>
    </r>
    <phoneticPr fontId="6" type="noConversion"/>
  </si>
  <si>
    <t>拨备覆盖率</t>
    <phoneticPr fontId="6" type="noConversion"/>
  </si>
  <si>
    <r>
      <rPr>
        <sz val="10"/>
        <color indexed="8"/>
        <rFont val="宋体"/>
        <family val="3"/>
        <charset val="134"/>
      </rPr>
      <t>拨备覆盖率</t>
    </r>
    <r>
      <rPr>
        <sz val="10"/>
        <color indexed="8"/>
        <rFont val="Times New Roman"/>
        <family val="1"/>
      </rPr>
      <t>=</t>
    </r>
    <r>
      <rPr>
        <sz val="10"/>
        <color indexed="8"/>
        <rFont val="宋体"/>
        <family val="3"/>
        <charset val="134"/>
      </rPr>
      <t>贷款减值准备</t>
    </r>
    <r>
      <rPr>
        <sz val="10"/>
        <color indexed="8"/>
        <rFont val="Times New Roman"/>
        <family val="1"/>
      </rPr>
      <t>/</t>
    </r>
    <r>
      <rPr>
        <sz val="10"/>
        <color indexed="8"/>
        <rFont val="宋体"/>
        <family val="3"/>
        <charset val="134"/>
      </rPr>
      <t>（次级类贷款＋可疑类贷款＋损失类贷款）</t>
    </r>
    <r>
      <rPr>
        <sz val="10"/>
        <color indexed="8"/>
        <rFont val="Times New Roman"/>
        <family val="1"/>
      </rPr>
      <t>×100%</t>
    </r>
    <phoneticPr fontId="6" type="noConversion"/>
  </si>
  <si>
    <r>
      <rPr>
        <sz val="10"/>
        <color indexed="8"/>
        <rFont val="宋体"/>
        <family val="3"/>
        <charset val="134"/>
      </rPr>
      <t>杠杆率</t>
    </r>
    <phoneticPr fontId="6" type="noConversion"/>
  </si>
  <si>
    <r>
      <rPr>
        <sz val="10"/>
        <color indexed="8"/>
        <rFont val="宋体"/>
        <family val="3"/>
        <charset val="134"/>
      </rPr>
      <t>偿付能力状况</t>
    </r>
    <phoneticPr fontId="6" type="noConversion"/>
  </si>
  <si>
    <t>资本充足率</t>
    <phoneticPr fontId="6" type="noConversion"/>
  </si>
  <si>
    <r>
      <rPr>
        <sz val="10"/>
        <color indexed="8"/>
        <rFont val="宋体"/>
        <family val="3"/>
        <charset val="134"/>
      </rPr>
      <t>资本充足率</t>
    </r>
    <r>
      <rPr>
        <sz val="10"/>
        <color indexed="8"/>
        <rFont val="Times New Roman"/>
        <family val="1"/>
      </rPr>
      <t>=</t>
    </r>
    <r>
      <rPr>
        <sz val="10"/>
        <color indexed="8"/>
        <rFont val="宋体"/>
        <family val="3"/>
        <charset val="134"/>
      </rPr>
      <t>（资本</t>
    </r>
    <r>
      <rPr>
        <sz val="10"/>
        <color indexed="8"/>
        <rFont val="Times New Roman"/>
        <family val="1"/>
      </rPr>
      <t>—</t>
    </r>
    <r>
      <rPr>
        <sz val="10"/>
        <color indexed="8"/>
        <rFont val="宋体"/>
        <family val="3"/>
        <charset val="134"/>
      </rPr>
      <t>扣除项）</t>
    </r>
    <r>
      <rPr>
        <sz val="10"/>
        <color indexed="8"/>
        <rFont val="Times New Roman"/>
        <family val="1"/>
      </rPr>
      <t>/</t>
    </r>
    <r>
      <rPr>
        <sz val="10"/>
        <color indexed="8"/>
        <rFont val="宋体"/>
        <family val="3"/>
        <charset val="134"/>
      </rPr>
      <t>（风险加权资产</t>
    </r>
    <r>
      <rPr>
        <sz val="10"/>
        <color indexed="8"/>
        <rFont val="Times New Roman"/>
        <family val="1"/>
      </rPr>
      <t>+12.5</t>
    </r>
    <r>
      <rPr>
        <sz val="10"/>
        <color indexed="8"/>
        <rFont val="宋体"/>
        <family val="3"/>
        <charset val="134"/>
      </rPr>
      <t>倍的市场风险资本）</t>
    </r>
    <r>
      <rPr>
        <sz val="10"/>
        <color indexed="8"/>
        <rFont val="Times New Roman"/>
        <family val="1"/>
      </rPr>
      <t xml:space="preserve">×100%
</t>
    </r>
    <r>
      <rPr>
        <sz val="10"/>
        <color indexed="8"/>
        <rFont val="宋体"/>
        <family val="3"/>
        <charset val="134"/>
      </rPr>
      <t>资本扣除项</t>
    </r>
    <r>
      <rPr>
        <sz val="10"/>
        <color indexed="8"/>
        <rFont val="Times New Roman"/>
        <family val="1"/>
      </rPr>
      <t>=</t>
    </r>
    <r>
      <rPr>
        <sz val="10"/>
        <color indexed="8"/>
        <rFont val="宋体"/>
        <family val="3"/>
        <charset val="134"/>
      </rPr>
      <t>商誉</t>
    </r>
    <r>
      <rPr>
        <sz val="10"/>
        <color indexed="8"/>
        <rFont val="Times New Roman"/>
        <family val="1"/>
      </rPr>
      <t>+</t>
    </r>
    <r>
      <rPr>
        <sz val="10"/>
        <color indexed="8"/>
        <rFont val="宋体"/>
        <family val="3"/>
        <charset val="134"/>
      </rPr>
      <t>对未并表银行机构资本投资</t>
    </r>
    <r>
      <rPr>
        <sz val="10"/>
        <color indexed="8"/>
        <rFont val="Times New Roman"/>
        <family val="1"/>
      </rPr>
      <t>+</t>
    </r>
    <r>
      <rPr>
        <sz val="10"/>
        <color indexed="8"/>
        <rFont val="宋体"/>
        <family val="3"/>
        <charset val="134"/>
      </rPr>
      <t>对未并表非银行金融机构资本投资</t>
    </r>
    <r>
      <rPr>
        <sz val="10"/>
        <color indexed="8"/>
        <rFont val="Times New Roman"/>
        <family val="1"/>
      </rPr>
      <t>+</t>
    </r>
    <r>
      <rPr>
        <sz val="10"/>
        <color indexed="8"/>
        <rFont val="宋体"/>
        <family val="3"/>
        <charset val="134"/>
      </rPr>
      <t>对非自用不动产投资</t>
    </r>
    <r>
      <rPr>
        <sz val="10"/>
        <color indexed="8"/>
        <rFont val="Times New Roman"/>
        <family val="1"/>
      </rPr>
      <t>+</t>
    </r>
    <r>
      <rPr>
        <sz val="10"/>
        <color indexed="8"/>
        <rFont val="宋体"/>
        <family val="3"/>
        <charset val="134"/>
      </rPr>
      <t>对工商企业资本投资</t>
    </r>
    <r>
      <rPr>
        <sz val="10"/>
        <color indexed="8"/>
        <rFont val="Times New Roman"/>
        <family val="1"/>
      </rPr>
      <t>+</t>
    </r>
    <r>
      <rPr>
        <sz val="10"/>
        <color indexed="8"/>
        <rFont val="宋体"/>
        <family val="3"/>
        <charset val="134"/>
      </rPr>
      <t>贷款损失准备尚未提足部分。</t>
    </r>
    <phoneticPr fontId="6" type="noConversion"/>
  </si>
  <si>
    <r>
      <rPr>
        <sz val="10"/>
        <color indexed="8"/>
        <rFont val="宋体"/>
        <family val="3"/>
        <charset val="134"/>
      </rPr>
      <t>核心资本充足率</t>
    </r>
    <phoneticPr fontId="6" type="noConversion"/>
  </si>
  <si>
    <t>指标类型</t>
  </si>
  <si>
    <t>基本指标</t>
  </si>
  <si>
    <t>指标权重</t>
  </si>
  <si>
    <t>合计</t>
  </si>
  <si>
    <t>权重</t>
    <phoneticPr fontId="2" type="noConversion"/>
  </si>
  <si>
    <t>规模指标</t>
    <phoneticPr fontId="6" type="noConversion"/>
  </si>
  <si>
    <t>营业收入（万元）</t>
    <phoneticPr fontId="6" type="noConversion"/>
  </si>
  <si>
    <t>总资产（万元）</t>
    <phoneticPr fontId="6" type="noConversion"/>
  </si>
  <si>
    <t>贷款规模（万元）</t>
    <phoneticPr fontId="6" type="noConversion"/>
  </si>
  <si>
    <t>总市值(万元)</t>
  </si>
  <si>
    <t>2023-11-20</t>
  </si>
  <si>
    <t>2023-11-21</t>
  </si>
  <si>
    <t>2023-11-22</t>
  </si>
  <si>
    <t>2023-11-23</t>
  </si>
  <si>
    <t>2023-11-24</t>
  </si>
  <si>
    <t>2023-11-27</t>
  </si>
  <si>
    <t>2023-11-28</t>
  </si>
  <si>
    <t>2023-11-29</t>
  </si>
  <si>
    <t>2023-11-30</t>
  </si>
  <si>
    <t>2023-12-01</t>
  </si>
  <si>
    <t>2023-12-04</t>
  </si>
  <si>
    <t>2023-12-05</t>
  </si>
  <si>
    <t>2023-12-06</t>
  </si>
  <si>
    <t>2023-12-07</t>
  </si>
  <si>
    <t>2023-12-08</t>
  </si>
  <si>
    <t>2023-12-11</t>
  </si>
  <si>
    <t>2023-12-12</t>
  </si>
  <si>
    <t>2023-12-13</t>
  </si>
  <si>
    <t>2023-12-14</t>
  </si>
  <si>
    <t>2023-12-15</t>
  </si>
  <si>
    <t>2023-12-18</t>
  </si>
  <si>
    <t>2023-12-19</t>
  </si>
  <si>
    <t>2023-12-20</t>
  </si>
  <si>
    <t>2023-12-21</t>
  </si>
  <si>
    <t>2023-12-22</t>
  </si>
  <si>
    <t>2023-12-25</t>
  </si>
  <si>
    <t>2023-12-26</t>
  </si>
  <si>
    <t>2023-12-27</t>
  </si>
  <si>
    <t>2023-12-28</t>
  </si>
  <si>
    <t>2023-12-29</t>
  </si>
  <si>
    <t>30日平均</t>
    <phoneticPr fontId="2" type="noConversion"/>
  </si>
  <si>
    <t>P/B</t>
    <phoneticPr fontId="2" type="noConversion"/>
  </si>
  <si>
    <t>每股价格</t>
    <phoneticPr fontId="2" type="noConversion"/>
  </si>
  <si>
    <t xml:space="preserve">序号 </t>
    <phoneticPr fontId="2" type="noConversion"/>
  </si>
  <si>
    <t>交易案例</t>
    <phoneticPr fontId="2" type="noConversion"/>
  </si>
  <si>
    <t>上市公司比较</t>
    <phoneticPr fontId="2" type="noConversion"/>
  </si>
  <si>
    <t>元/股</t>
    <phoneticPr fontId="2" type="noConversion"/>
  </si>
  <si>
    <t>股数</t>
    <phoneticPr fontId="2" type="noConversion"/>
  </si>
  <si>
    <t>万股</t>
    <phoneticPr fontId="2" type="noConversion"/>
  </si>
  <si>
    <t>1980万股权益</t>
    <phoneticPr fontId="2" type="noConversion"/>
  </si>
  <si>
    <t>股东权益合计</t>
    <phoneticPr fontId="2" type="noConversion"/>
  </si>
  <si>
    <t>归属母公司股东权益</t>
    <phoneticPr fontId="2" type="noConversion"/>
  </si>
  <si>
    <t>市场法增减值</t>
    <phoneticPr fontId="6" type="noConversion"/>
  </si>
  <si>
    <t>指标打分</t>
    <phoneticPr fontId="2" type="noConversion"/>
  </si>
  <si>
    <t>修正指标</t>
    <phoneticPr fontId="2" type="noConversion"/>
  </si>
  <si>
    <t>600000.SH</t>
  </si>
  <si>
    <t>浦发银行</t>
  </si>
  <si>
    <t>600015.SH</t>
  </si>
  <si>
    <t>华夏银行</t>
  </si>
  <si>
    <t>600016.SH</t>
  </si>
  <si>
    <t>民生银行</t>
  </si>
  <si>
    <t>600036.SH</t>
  </si>
  <si>
    <t>招商银行</t>
  </si>
  <si>
    <t>600919.SH</t>
  </si>
  <si>
    <t>江苏银行</t>
  </si>
  <si>
    <t>600926.SH</t>
  </si>
  <si>
    <t>杭州银行</t>
  </si>
  <si>
    <t>600928.SH</t>
  </si>
  <si>
    <t>西安银行</t>
  </si>
  <si>
    <t>601009.SH</t>
  </si>
  <si>
    <t>南京银行</t>
  </si>
  <si>
    <t>601077.SH</t>
  </si>
  <si>
    <t>渝农商行</t>
  </si>
  <si>
    <t>601166.SH</t>
  </si>
  <si>
    <t>兴业银行</t>
  </si>
  <si>
    <t>601169.SH</t>
  </si>
  <si>
    <t>北京银行</t>
  </si>
  <si>
    <t>601187.SH</t>
  </si>
  <si>
    <t>厦门银行</t>
  </si>
  <si>
    <t>601229.SH</t>
  </si>
  <si>
    <t>上海银行</t>
  </si>
  <si>
    <t>601288.SH</t>
  </si>
  <si>
    <t>农业银行</t>
  </si>
  <si>
    <t>601328.SH</t>
  </si>
  <si>
    <t>交通银行</t>
  </si>
  <si>
    <t>601398.SH</t>
  </si>
  <si>
    <t>工商银行</t>
  </si>
  <si>
    <t>601528.SH</t>
  </si>
  <si>
    <t>瑞丰银行</t>
  </si>
  <si>
    <t>601577.SH</t>
  </si>
  <si>
    <t>长沙银行</t>
  </si>
  <si>
    <t>601658.SH</t>
  </si>
  <si>
    <t>邮储银行</t>
  </si>
  <si>
    <t>601665.SH</t>
  </si>
  <si>
    <t>齐鲁银行</t>
  </si>
  <si>
    <t>601818.SH</t>
  </si>
  <si>
    <t>光大银行</t>
  </si>
  <si>
    <t>601825.SH</t>
  </si>
  <si>
    <t>沪农商行</t>
  </si>
  <si>
    <t>601838.SH</t>
  </si>
  <si>
    <t>成都银行</t>
  </si>
  <si>
    <t>601916.SH</t>
  </si>
  <si>
    <t>浙商银行</t>
  </si>
  <si>
    <t>601939.SH</t>
  </si>
  <si>
    <t>建设银行</t>
  </si>
  <si>
    <t>601963.SH</t>
  </si>
  <si>
    <t>重庆银行</t>
  </si>
  <si>
    <t>601988.SH</t>
  </si>
  <si>
    <t>中国银行</t>
  </si>
  <si>
    <t>601997.SH</t>
  </si>
  <si>
    <t>贵阳银行</t>
  </si>
  <si>
    <t>601998.SH</t>
  </si>
  <si>
    <t>中信银行</t>
  </si>
  <si>
    <t>000001.SZ</t>
  </si>
  <si>
    <t>平安银行</t>
  </si>
  <si>
    <t>001227.SZ</t>
  </si>
  <si>
    <t>兰州银行</t>
  </si>
  <si>
    <t>002142.SZ</t>
  </si>
  <si>
    <t>宁波银行</t>
  </si>
  <si>
    <t>002936.SZ</t>
  </si>
  <si>
    <t>郑州银行</t>
  </si>
  <si>
    <t>002948.SZ</t>
  </si>
  <si>
    <t>青岛银行</t>
  </si>
  <si>
    <t>002958.SZ</t>
  </si>
  <si>
    <t>青农商行</t>
  </si>
  <si>
    <t>002966.SZ</t>
  </si>
  <si>
    <t>苏州银行</t>
  </si>
  <si>
    <t>净息差
[报告期]  2023年报
[单位]%</t>
  </si>
  <si>
    <t>大</t>
    <phoneticPr fontId="2" type="noConversion"/>
  </si>
  <si>
    <t>较大</t>
    <phoneticPr fontId="2" type="noConversion"/>
  </si>
  <si>
    <t>中</t>
    <phoneticPr fontId="2" type="noConversion"/>
  </si>
  <si>
    <t>较小</t>
    <phoneticPr fontId="2" type="noConversion"/>
  </si>
  <si>
    <t>非经营性资产</t>
    <phoneticPr fontId="2" type="noConversion"/>
  </si>
  <si>
    <t>太仓农商行</t>
    <phoneticPr fontId="2" type="noConversion"/>
  </si>
  <si>
    <t>交易对价
[单位]  万元</t>
    <phoneticPr fontId="2" type="noConversion"/>
  </si>
  <si>
    <t>归属母公司权益
[报表类型]  合并报表
[单位]  万元</t>
    <phoneticPr fontId="2" type="noConversion"/>
  </si>
  <si>
    <t>归属于母公司所有者权益（或股东权益）合计</t>
    <phoneticPr fontId="2" type="noConversion"/>
  </si>
  <si>
    <t>成交日期</t>
    <phoneticPr fontId="2" type="noConversion"/>
  </si>
  <si>
    <t>市净率（P/B）
[报告期]  
[单位]  倍</t>
    <phoneticPr fontId="2" type="noConversion"/>
  </si>
  <si>
    <t>较远</t>
    <phoneticPr fontId="2" type="noConversion"/>
  </si>
  <si>
    <t>衍生金融资产</t>
  </si>
  <si>
    <t xml:space="preserve">  发放贷款及垫款净额</t>
  </si>
  <si>
    <t>公允价值变动收益</t>
  </si>
  <si>
    <t xml:space="preserve">  固定资产</t>
  </si>
  <si>
    <t xml:space="preserve"> 在建工程</t>
  </si>
  <si>
    <t xml:space="preserve">  使用权资产</t>
  </si>
  <si>
    <t>信用减值损失</t>
  </si>
  <si>
    <t xml:space="preserve">  无形资产</t>
  </si>
  <si>
    <t>其他资产减值损失</t>
  </si>
  <si>
    <t xml:space="preserve">  衍生金融负债</t>
  </si>
  <si>
    <r>
      <rPr>
        <b/>
        <sz val="10"/>
        <color indexed="8"/>
        <rFont val="宋体"/>
        <family val="3"/>
        <charset val="134"/>
      </rPr>
      <t>资本利润率</t>
    </r>
    <r>
      <rPr>
        <b/>
        <sz val="10"/>
        <color indexed="8"/>
        <rFont val="Times New Roman"/>
        <family val="1"/>
      </rPr>
      <t>%</t>
    </r>
  </si>
  <si>
    <r>
      <rPr>
        <b/>
        <sz val="10"/>
        <color indexed="8"/>
        <rFont val="宋体"/>
        <family val="3"/>
        <charset val="134"/>
      </rPr>
      <t>资产利润率</t>
    </r>
    <r>
      <rPr>
        <b/>
        <sz val="10"/>
        <color indexed="8"/>
        <rFont val="Times New Roman"/>
        <family val="1"/>
      </rPr>
      <t>%</t>
    </r>
  </si>
  <si>
    <r>
      <rPr>
        <b/>
        <sz val="10"/>
        <color indexed="8"/>
        <rFont val="宋体"/>
        <family val="3"/>
        <charset val="134"/>
      </rPr>
      <t>成本收入比</t>
    </r>
    <r>
      <rPr>
        <b/>
        <sz val="10"/>
        <color indexed="8"/>
        <rFont val="Times New Roman"/>
        <family val="1"/>
      </rPr>
      <t>%</t>
    </r>
  </si>
  <si>
    <r>
      <rPr>
        <b/>
        <sz val="10"/>
        <color indexed="8"/>
        <rFont val="宋体"/>
        <family val="3"/>
        <charset val="134"/>
      </rPr>
      <t>利润增长率</t>
    </r>
    <r>
      <rPr>
        <b/>
        <sz val="10"/>
        <color indexed="8"/>
        <rFont val="Times New Roman"/>
        <family val="1"/>
      </rPr>
      <t>%</t>
    </r>
  </si>
  <si>
    <r>
      <rPr>
        <b/>
        <sz val="10"/>
        <color indexed="8"/>
        <rFont val="宋体"/>
        <family val="3"/>
        <charset val="134"/>
      </rPr>
      <t>不良贷款率</t>
    </r>
    <r>
      <rPr>
        <b/>
        <sz val="10"/>
        <color indexed="8"/>
        <rFont val="Times New Roman"/>
        <family val="1"/>
      </rPr>
      <t>%</t>
    </r>
  </si>
  <si>
    <t xml:space="preserve">  其他应付款</t>
  </si>
  <si>
    <r>
      <rPr>
        <b/>
        <sz val="10"/>
        <color indexed="8"/>
        <rFont val="宋体"/>
        <family val="3"/>
        <charset val="134"/>
      </rPr>
      <t>拨备覆盖率</t>
    </r>
    <r>
      <rPr>
        <b/>
        <sz val="10"/>
        <color indexed="8"/>
        <rFont val="Times New Roman"/>
        <family val="1"/>
      </rPr>
      <t>%</t>
    </r>
  </si>
  <si>
    <t xml:space="preserve">  预计负债</t>
  </si>
  <si>
    <t xml:space="preserve">  租赁负债</t>
  </si>
  <si>
    <t xml:space="preserve">  递延所得税负债</t>
  </si>
  <si>
    <r>
      <rPr>
        <sz val="10"/>
        <color theme="1"/>
        <rFont val="Times New Roman"/>
        <family val="1"/>
      </rPr>
      <t>2017</t>
    </r>
    <r>
      <rPr>
        <sz val="10"/>
        <color theme="1"/>
        <rFont val="宋体"/>
        <family val="3"/>
        <charset val="134"/>
      </rPr>
      <t>年</t>
    </r>
  </si>
  <si>
    <r>
      <rPr>
        <sz val="10"/>
        <color theme="1"/>
        <rFont val="Times New Roman"/>
        <family val="1"/>
      </rPr>
      <t>2018</t>
    </r>
    <r>
      <rPr>
        <sz val="10"/>
        <color theme="1"/>
        <rFont val="宋体"/>
        <family val="3"/>
        <charset val="134"/>
      </rPr>
      <t>年</t>
    </r>
  </si>
  <si>
    <r>
      <rPr>
        <sz val="10"/>
        <color theme="1"/>
        <rFont val="Times New Roman"/>
        <family val="1"/>
      </rPr>
      <t>2019</t>
    </r>
    <r>
      <rPr>
        <sz val="10"/>
        <color indexed="8"/>
        <rFont val="微软雅黑"/>
        <family val="2"/>
        <charset val="134"/>
      </rPr>
      <t>年</t>
    </r>
  </si>
  <si>
    <r>
      <rPr>
        <sz val="10"/>
        <color theme="1"/>
        <rFont val="Times New Roman"/>
        <family val="1"/>
      </rPr>
      <t>2020</t>
    </r>
    <r>
      <rPr>
        <sz val="10"/>
        <color indexed="8"/>
        <rFont val="微软雅黑"/>
        <family val="2"/>
        <charset val="134"/>
      </rPr>
      <t>年</t>
    </r>
  </si>
  <si>
    <r>
      <rPr>
        <sz val="10"/>
        <color theme="1"/>
        <rFont val="Times New Roman"/>
        <family val="1"/>
      </rPr>
      <t>2021</t>
    </r>
    <r>
      <rPr>
        <sz val="10"/>
        <color theme="1"/>
        <rFont val="宋体"/>
        <family val="3"/>
        <charset val="134"/>
      </rPr>
      <t>年</t>
    </r>
  </si>
  <si>
    <t>持有至到期投资</t>
  </si>
  <si>
    <t>应收款项类投资</t>
  </si>
  <si>
    <t>归属于母公司股东的净利润</t>
  </si>
  <si>
    <t>少数股东损益</t>
  </si>
  <si>
    <t>应付利息</t>
  </si>
  <si>
    <t>应付债券</t>
  </si>
  <si>
    <t>其他权益工具</t>
  </si>
  <si>
    <t>少数股东权益</t>
  </si>
  <si>
    <t>攀枝花农商行</t>
    <phoneticPr fontId="2" type="noConversion"/>
  </si>
  <si>
    <t>桂林银行股份有限公司</t>
    <phoneticPr fontId="2" type="noConversion"/>
  </si>
  <si>
    <r>
      <rPr>
        <b/>
        <sz val="10"/>
        <color rgb="FF000000"/>
        <rFont val="宋体"/>
        <family val="3"/>
        <charset val="134"/>
      </rPr>
      <t>流动性比例</t>
    </r>
    <r>
      <rPr>
        <b/>
        <sz val="10"/>
        <color indexed="8"/>
        <rFont val="Times New Roman"/>
        <family val="1"/>
      </rPr>
      <t>%</t>
    </r>
    <phoneticPr fontId="6" type="noConversion"/>
  </si>
  <si>
    <r>
      <rPr>
        <b/>
        <sz val="10"/>
        <color indexed="8"/>
        <rFont val="宋体"/>
        <family val="2"/>
        <charset val="134"/>
      </rPr>
      <t>一级资本充足率</t>
    </r>
    <r>
      <rPr>
        <b/>
        <sz val="10"/>
        <color indexed="8"/>
        <rFont val="Times New Roman"/>
        <family val="1"/>
      </rPr>
      <t>%</t>
    </r>
    <phoneticPr fontId="6" type="noConversion"/>
  </si>
  <si>
    <t>流动性比例%</t>
  </si>
  <si>
    <t>一级资本充足率%</t>
  </si>
  <si>
    <t>交易日期</t>
    <phoneticPr fontId="2" type="noConversion"/>
  </si>
  <si>
    <t>大丰农商行</t>
    <phoneticPr fontId="2" type="noConversion"/>
  </si>
  <si>
    <t>近</t>
    <phoneticPr fontId="2" type="noConversion"/>
  </si>
  <si>
    <t>经营增长</t>
    <phoneticPr fontId="2" type="noConversion"/>
  </si>
  <si>
    <t>企业规模</t>
    <phoneticPr fontId="2" type="noConversion"/>
  </si>
  <si>
    <t>股利分配率</t>
    <phoneticPr fontId="2" type="noConversion"/>
  </si>
  <si>
    <t>低</t>
    <phoneticPr fontId="2" type="noConversion"/>
  </si>
  <si>
    <t>低</t>
    <phoneticPr fontId="2" type="noConversion"/>
  </si>
  <si>
    <t>总资产（亿元）</t>
    <phoneticPr fontId="2" type="noConversion"/>
  </si>
  <si>
    <t>贷款规模（亿元）</t>
    <phoneticPr fontId="2" type="noConversion"/>
  </si>
  <si>
    <t>存款规模（亿元）</t>
    <phoneticPr fontId="2" type="noConversion"/>
  </si>
  <si>
    <t>被评估单位名称：江苏大丰农村商业银行股份有限公司</t>
  </si>
  <si>
    <t>评估机构：北方亚事资产评估有限责任公司</t>
    <phoneticPr fontId="2" type="noConversion"/>
  </si>
  <si>
    <t>太仓农商行</t>
  </si>
  <si>
    <t>攀枝花农商行</t>
  </si>
  <si>
    <t>大丰农商行</t>
  </si>
  <si>
    <t>盈利能力</t>
  </si>
  <si>
    <t>经营增长</t>
  </si>
  <si>
    <t>资产质量</t>
  </si>
  <si>
    <t>偿付能力</t>
  </si>
  <si>
    <t>企业规模</t>
  </si>
  <si>
    <t>交易日期</t>
  </si>
  <si>
    <t>资本利润率%</t>
  </si>
  <si>
    <t>资产利润率%</t>
  </si>
  <si>
    <t>成本收入比%</t>
  </si>
  <si>
    <t>股利分配率</t>
  </si>
  <si>
    <t>利润增长率%</t>
  </si>
  <si>
    <t>不良贷款率%</t>
  </si>
  <si>
    <t>拨备覆盖率%</t>
  </si>
  <si>
    <t>资本充足率%</t>
  </si>
  <si>
    <t>核心一级资本充足率%</t>
  </si>
  <si>
    <t>总资产（亿元）</t>
  </si>
  <si>
    <t>贷款规模（亿元）</t>
  </si>
  <si>
    <t>存款规模（亿元）</t>
  </si>
  <si>
    <t>成交日期</t>
  </si>
  <si>
    <t>良好</t>
  </si>
  <si>
    <t>标的公司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</si>
</sst>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6">
    <numFmt numFmtId="41" formatCode="_ * #,##0_ ;_ * \-#,##0_ ;_ * &quot;-&quot;_ ;_ @_ "/>
    <numFmt numFmtId="43" formatCode="_ * #,##0.00_ ;_ * \-#,##0.00_ ;_ * &quot;-&quot;??_ ;_ @_ "/>
    <numFmt numFmtId="24" formatCode="\$#,##0_);[Red]\(\$#,##0\)"/>
    <numFmt numFmtId="25" formatCode="\$#,##0.00_);\(\$#,##0.00\)"/>
    <numFmt numFmtId="176" formatCode="_-* #,##0.00_-;\-* #,##0.00_-;_-* &quot;-&quot;??_-;_-@_-"/>
    <numFmt numFmtId="177" formatCode="###,###,###,##0.0000"/>
    <numFmt numFmtId="178" formatCode="#,##0.00_ "/>
    <numFmt numFmtId="179" formatCode="#,##0.0000_ "/>
    <numFmt numFmtId="180" formatCode="0.0%"/>
    <numFmt numFmtId="181" formatCode="0_ "/>
    <numFmt numFmtId="182" formatCode="0.00_ "/>
    <numFmt numFmtId="183" formatCode="_ * #,##0_ ;_ * \-#,##0_ ;_ * &quot;-&quot;??_ ;_ @_ "/>
    <numFmt numFmtId="184" formatCode="_ * #,##0.0000_ ;_ * \-#,##0.0000_ ;_ * &quot;-&quot;??_ ;_ @_ "/>
    <numFmt numFmtId="185" formatCode="[DBNum2][$-804]General"/>
    <numFmt numFmtId="186" formatCode="###,##0.00_ "/>
    <numFmt numFmtId="187" formatCode="###,##0.0000_ "/>
    <numFmt numFmtId="188" formatCode="#,##0.000_ "/>
    <numFmt numFmtId="189" formatCode="0.000%"/>
    <numFmt numFmtId="190" formatCode="#,##0.0_ "/>
    <numFmt numFmtId="191" formatCode="#,##0.0000"/>
    <numFmt numFmtId="192" formatCode="&quot;¥&quot;#,##0;\-&quot;¥&quot;#,##0"/>
    <numFmt numFmtId="193" formatCode="&quot;¥&quot;#,##0.00;[Red]\-&quot;¥&quot;#,##0.00"/>
    <numFmt numFmtId="194" formatCode="_-* #,##0_-;\-* #,##0_-;_-* &quot;-&quot;_-;_-@_-"/>
    <numFmt numFmtId="195" formatCode="#,##0.0"/>
    <numFmt numFmtId="196" formatCode="&quot;$&quot;#,##0_);\(&quot;$&quot;#,##0\)"/>
    <numFmt numFmtId="197" formatCode="_-* #,##0_-;\-* #,##0_-;_-* &quot;-&quot;??_-;_-@_-"/>
    <numFmt numFmtId="198" formatCode="\$#,##0.00;[Red]\-\$#,##0.00"/>
    <numFmt numFmtId="199" formatCode="0.0000%"/>
    <numFmt numFmtId="200" formatCode="mmmm\ d\,\ yyyy"/>
    <numFmt numFmtId="201" formatCode="_ [$€-2]* #,##0.00_ ;_ [$€-2]* \-#,##0.00_ ;_ [$€-2]* &quot;-&quot;??_ "/>
    <numFmt numFmtId="202" formatCode="_(&quot;$&quot;* #,##0_);_(&quot;$&quot;* \(#,##0\);_(&quot;$&quot;* &quot;-&quot;_);_(@_)"/>
    <numFmt numFmtId="203" formatCode="_(&quot;$&quot;* #,##0.00_);_(&quot;$&quot;* \(#,##0.00\);_(&quot;$&quot;* &quot;-&quot;??_);_(@_)"/>
    <numFmt numFmtId="204" formatCode="0.00_)"/>
    <numFmt numFmtId="205" formatCode="_-* #,##0\ _k_r_-;\-* #,##0\ _k_r_-;_-* &quot;-&quot;\ _k_r_-;_-@_-"/>
    <numFmt numFmtId="206" formatCode="_-* #,##0.00\ _k_r_-;\-* #,##0.00\ _k_r_-;_-* &quot;-&quot;??\ _k_r_-;_-@_-"/>
    <numFmt numFmtId="207" formatCode="&quot;\&quot;#,##0.00;[Red]&quot;\&quot;\-#,##0.00"/>
    <numFmt numFmtId="208" formatCode="&quot;\&quot;#,##0;[Red]&quot;\&quot;\-#,##0"/>
    <numFmt numFmtId="209" formatCode="_ &quot;\&quot;* #,##0.00_ ;_ &quot;\&quot;* \-#,##0.00_ ;_ &quot;\&quot;* &quot;-&quot;??_ ;_ @_ "/>
    <numFmt numFmtId="210" formatCode="_-&quot;$&quot;* #,##0_-;\-&quot;$&quot;* #,##0_-;_-&quot;$&quot;* &quot;-&quot;_-;_-@_-"/>
    <numFmt numFmtId="211" formatCode="_-&quot;$&quot;* #,##0.00_-;\-&quot;$&quot;* #,##0.00_-;_-&quot;$&quot;* &quot;-&quot;??_-;_-@_-"/>
    <numFmt numFmtId="212" formatCode="_-#,##0_-;\(#,##0\);_-\ \ &quot;-&quot;_-;_-@_-"/>
    <numFmt numFmtId="213" formatCode="_-#,##0.00_-;\(#,##0.00\);_-\ \ &quot;-&quot;_-;_-@_-"/>
    <numFmt numFmtId="214" formatCode="mmm/dd/yyyy;_-\ &quot;N/A&quot;_-;_-\ &quot;-&quot;_-"/>
    <numFmt numFmtId="215" formatCode="mmm/yyyy;_-\ &quot;N/A&quot;_-;_-\ &quot;-&quot;_-"/>
    <numFmt numFmtId="216" formatCode="_-#,##0%_-;\(#,##0%\);_-\ &quot;-&quot;_-"/>
    <numFmt numFmtId="217" formatCode="_-#,###,_-;\(#,###,\);_-\ \ &quot;-&quot;_-;_-@_-"/>
    <numFmt numFmtId="218" formatCode="_-#,###.00,_-;\(#,###.00,\);_-\ \ &quot;-&quot;_-;_-@_-"/>
    <numFmt numFmtId="219" formatCode="_-* #,##0.0000000000_-;\-* #,##0.0000000000_-;_-* &quot;-&quot;??_-;_-@_-"/>
    <numFmt numFmtId="220" formatCode="#,##0;\-#,##0;&quot;-&quot;"/>
    <numFmt numFmtId="221" formatCode="&quot;\&quot;#,##0;[Red]&quot;\&quot;&quot;\&quot;&quot;\&quot;&quot;\&quot;&quot;\&quot;&quot;\&quot;&quot;\&quot;\-#,##0"/>
    <numFmt numFmtId="222" formatCode="#,##0;\(#,##0\)"/>
    <numFmt numFmtId="223" formatCode="#,##0.0_);\(#,##0.0\)"/>
    <numFmt numFmtId="224" formatCode="&quot;$&quot;#,##0.00_);\(&quot;$&quot;#,##0.00\)"/>
    <numFmt numFmtId="225" formatCode="&quot;$&quot;#,##0;\-&quot;$&quot;#,##0"/>
    <numFmt numFmtId="226" formatCode="\$#,##0.00;\(\$#,##0.00\)"/>
    <numFmt numFmtId="227" formatCode="\$#,##0;\(\$#,##0\)"/>
    <numFmt numFmtId="228" formatCode="#,##0.00&quot;¥&quot;;\-#,##0.00&quot;¥&quot;"/>
    <numFmt numFmtId="229" formatCode="_-* #,##0&quot;¥&quot;_-;\-* #,##0&quot;¥&quot;_-;_-* &quot;-&quot;&quot;¥&quot;_-;_-@_-"/>
    <numFmt numFmtId="230" formatCode="#,##0.00&quot;¥&quot;;[Red]\-#,##0.00&quot;¥&quot;"/>
    <numFmt numFmtId="231" formatCode="&quot;\&quot;#,##0;[Red]&quot;\&quot;&quot;\&quot;\-#,##0"/>
    <numFmt numFmtId="232" formatCode="&quot;\&quot;#,##0.00;[Red]&quot;\&quot;&quot;\&quot;&quot;\&quot;&quot;\&quot;&quot;\&quot;&quot;\&quot;\-#,##0.00"/>
    <numFmt numFmtId="233"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234" formatCode="_-#0&quot;.&quot;0,_-;\(#0&quot;.&quot;0,\);_-\ \ &quot;-&quot;_-;_-@_-"/>
    <numFmt numFmtId="235" formatCode="_-#0&quot;.&quot;0000_-;\(#0&quot;.&quot;0000\);_-\ \ &quot;-&quot;_-;_-@_-"/>
    <numFmt numFmtId="236" formatCode="_(* #,##0.0000_);_(* \(#,##0.0000\);_(* &quot;-&quot;??_);_(@_)"/>
    <numFmt numFmtId="237" formatCode="#,##0\ &quot;FB&quot;;\-#,##0\ &quot;FB&quot;"/>
    <numFmt numFmtId="238" formatCode="0.0%;\(0.0%\)"/>
    <numFmt numFmtId="239" formatCode="* \(#,##0\);* #,##0_);&quot;-&quot;??_);@"/>
    <numFmt numFmtId="240" formatCode="* #,##0_);* \(#,##0\);&quot;-&quot;??_);@"/>
    <numFmt numFmtId="241" formatCode="#,##0.000000"/>
    <numFmt numFmtId="242" formatCode="#,##0\ &quot; &quot;;\(#,##0\)\ ;&quot;—&quot;&quot; &quot;&quot; &quot;&quot; &quot;&quot; &quot;"/>
    <numFmt numFmtId="243" formatCode="_-* #,##0.00\ _B_E_F_-;\-* #,##0.00\ _B_E_F_-;_-* &quot;-&quot;??\ _B_E_F_-;_-@_-"/>
    <numFmt numFmtId="244" formatCode="#,##0.00\ &quot;FB&quot;;\-#,##0.00\ &quot;FB&quot;"/>
    <numFmt numFmtId="245" formatCode="#,##0.00\ &quot;FB&quot;;[Red]\-#,##0.00\ &quot;FB&quot;"/>
    <numFmt numFmtId="246" formatCode="#,##0.000_);\(#,##0.000\)"/>
    <numFmt numFmtId="247" formatCode="&quot;$&quot;#,##0.00;[Red]&quot;$&quot;#,##0.00"/>
    <numFmt numFmtId="248" formatCode="_(* #,##0.000000_);_(* \(#,##0.000000\);_(* &quot;-&quot;??_);_(@_)"/>
    <numFmt numFmtId="249" formatCode="_(* #,##0.0000000_);_(* \(#,##0.0000000\);_(* &quot;-&quot;??_);_(@_)"/>
    <numFmt numFmtId="250" formatCode="&quot;$&quot;#,##0.0_);\(&quot;$&quot;#,##0.0\)"/>
    <numFmt numFmtId="251" formatCode="&quot;$&quot;#,##0.000_);\(&quot;$&quot;#,##0.000\)"/>
    <numFmt numFmtId="252" formatCode="&quot;$&quot;#,##0.0000;[Red]&quot;$&quot;#,##0.0000"/>
    <numFmt numFmtId="253" formatCode="&quot;$&quot;#,##0.00_);[Red]\(&quot;$&quot;#,##0.00\)"/>
    <numFmt numFmtId="254" formatCode=";;;"/>
    <numFmt numFmtId="255" formatCode="#,##0.0%;[Red]\(#,##0.0\)%"/>
    <numFmt numFmtId="256" formatCode="#,##0.00;[Red]\(#,##0.00\)"/>
    <numFmt numFmtId="257" formatCode="_-&quot;?&quot;* #,##0_-;\-&quot;?&quot;* #,##0_-;_-&quot;?&quot;* &quot;-&quot;_-;_-@_-"/>
    <numFmt numFmtId="258" formatCode="_(\?* \t#,##0_);_(\?* \(\t#,##0\);_(\?* &quot;-&quot;_);_(@_)"/>
    <numFmt numFmtId="259" formatCode="#,##0.0\x_);\(###0.0\x\)"/>
    <numFmt numFmtId="260" formatCode="[$￥-804]#,##0.000_);\([$￥-804]#,##0.000\)"/>
    <numFmt numFmtId="261" formatCode="0.0&quot;%&quot;_);\(0.0&quot;%&quot;\)"/>
    <numFmt numFmtId="262" formatCode="###0_);\(###0\)"/>
    <numFmt numFmtId="263" formatCode="&quot;$&quot;#,##0;[Red]&quot;$&quot;&quot;$&quot;&quot;$&quot;&quot;$&quot;&quot;$&quot;&quot;$&quot;&quot;$&quot;\-#,##0"/>
    <numFmt numFmtId="264" formatCode="#,##0.00\ ;\(#,##0.00\)"/>
    <numFmt numFmtId="265" formatCode="#,##0.0%;\-\ #,##0.0%;_-* &quot;-&quot;??_-;_-@_-"/>
    <numFmt numFmtId="266" formatCode="#,##0%;\-\ #,##0%;_-* &quot;-&quot;??_-;_-@_-"/>
    <numFmt numFmtId="267" formatCode="mmm\ yy"/>
    <numFmt numFmtId="268" formatCode="0.000000"/>
    <numFmt numFmtId="269" formatCode="_(* #,##0_);_(* \(#,##0\);_(* &quot;-&quot;?_);@_)"/>
    <numFmt numFmtId="270" formatCode="&quot;\&quot;* #,##0.0_);[Red]&quot;\&quot;* \(#,##0.0\)"/>
    <numFmt numFmtId="271" formatCode="d\ mmm"/>
    <numFmt numFmtId="272" formatCode="#,##0.0\ ;\(#,##0.0\)"/>
    <numFmt numFmtId="273" formatCode="0.0%;[Red]\-0.0%"/>
    <numFmt numFmtId="274" formatCode="yy\/mm\/dd"/>
    <numFmt numFmtId="275" formatCode="#,##0\ ;\(#,##0\)"/>
    <numFmt numFmtId="276" formatCode="&quot;?&quot;#,##0;_(* #,##0;_(* &quot;-&quot;??_);_(@_)"/>
    <numFmt numFmtId="277" formatCode="0.000"/>
    <numFmt numFmtId="278" formatCode="#,##0.0_);[Red]\(#,##0.0\)"/>
    <numFmt numFmtId="279" formatCode="0.0000"/>
    <numFmt numFmtId="280" formatCode="#,##0;[Red]\(#,##0\)"/>
    <numFmt numFmtId="281" formatCode="mmm\-yy_)"/>
    <numFmt numFmtId="282" formatCode="d\ mmm\ yyyy"/>
    <numFmt numFmtId="283" formatCode="0.00000"/>
    <numFmt numFmtId="284" formatCode="&quot;\&quot;#,##0.00"/>
    <numFmt numFmtId="285" formatCode="#,##0.00%;\-\ #,##0.00%;_-* &quot;-&quot;??_-;_-@_-"/>
    <numFmt numFmtId="286" formatCode="&quot;\&quot;#,##0;&quot;\&quot;\-#,##0"/>
    <numFmt numFmtId="287" formatCode="0.000000000"/>
    <numFmt numFmtId="288" formatCode="_-&quot;$&quot;* #,##0_-;\-&quot;$&quot;* #,##0_-;_-&quot;$&quot;* &quot;-&quot;??_-;_-@_-"/>
    <numFmt numFmtId="289" formatCode="0.00%;[Red]\-0.00%"/>
    <numFmt numFmtId="290" formatCode="_(* #,##0.0,_);_(* \(#,##0.0,\);_(* &quot;-&quot;_);_(@_)"/>
    <numFmt numFmtId="291" formatCode="_-&quot;L.&quot;\ * #,##0_-;\-&quot;L.&quot;\ * #,##0_-;_-&quot;L.&quot;\ * &quot;-&quot;_-;_-@_-"/>
    <numFmt numFmtId="292" formatCode="_-&quot;L.&quot;\ * #,##0.00_-;\-&quot;L.&quot;\ * #,##0.00_-;_-&quot;L.&quot;\ * &quot;-&quot;??_-;_-@_-"/>
    <numFmt numFmtId="293" formatCode="&quot;AS&quot;\ #,##0;[Red]\-&quot;AS&quot;\ #,##0"/>
    <numFmt numFmtId="294" formatCode="&quot;AS&quot;\ #,##0.00;[Red]\-&quot;AS&quot;\ #,##0.00"/>
    <numFmt numFmtId="295" formatCode="###0_)"/>
    <numFmt numFmtId="296" formatCode="_-* #,##0.00\ _F_-;\-* #,##0.00\ _F_-;_-* &quot;-&quot;??\ _F_-;_-@_-"/>
    <numFmt numFmtId="297" formatCode="_-* #,##0\ _F_-;\-* #,##0\ _F_-;_-* &quot;-&quot;\ _F_-;_-@_-"/>
    <numFmt numFmtId="298" formatCode="#,##0.000"/>
    <numFmt numFmtId="299" formatCode="_-* #,##0.00\ &quot;F&quot;_-;\-* #,##0.00\ &quot;F&quot;_-;_-* &quot;-&quot;??\ &quot;F&quot;_-;_-@_-"/>
    <numFmt numFmtId="300" formatCode="_-* #,##0\ &quot;F&quot;_-;\-* #,##0\ &quot;F&quot;_-;_-* &quot;-&quot;\ &quot;F&quot;_-;_-@_-"/>
    <numFmt numFmtId="301" formatCode="###,###,###,##0.00"/>
    <numFmt numFmtId="302" formatCode="0.0000_ "/>
    <numFmt numFmtId="303" formatCode="yyyy\-mm\-dd"/>
    <numFmt numFmtId="304" formatCode="g/&quot;通&quot;&quot;用&quot;&quot;格&quot;&quot;式&quot;"/>
    <numFmt numFmtId="305" formatCode="[$-F800]dddd\,\ mmmm\ dd\,\ yyyy"/>
    <numFmt numFmtId="306" formatCode="yyyy/mm/dd"/>
    <numFmt numFmtId="307" formatCode="yyyy/mm"/>
  </numFmts>
  <fonts count="288">
    <font>
      <sz val="11"/>
      <color theme="1"/>
      <name val="宋体"/>
      <family val="2"/>
      <charset val="134"/>
      <scheme val="minor"/>
    </font>
    <font>
      <sz val="10"/>
      <color theme="1"/>
      <name val="宋体"/>
      <family val="2"/>
      <charset val="134"/>
      <scheme val="minor"/>
    </font>
    <font>
      <sz val="9"/>
      <name val="宋体"/>
      <family val="2"/>
      <charset val="134"/>
      <scheme val="minor"/>
    </font>
    <font>
      <sz val="11"/>
      <color theme="1"/>
      <name val="宋体"/>
      <family val="2"/>
      <charset val="134"/>
      <scheme val="minor"/>
    </font>
    <font>
      <sz val="12"/>
      <name val="宋体"/>
      <family val="3"/>
      <charset val="134"/>
    </font>
    <font>
      <sz val="10"/>
      <name val="宋体"/>
      <family val="3"/>
      <charset val="134"/>
    </font>
    <font>
      <sz val="9"/>
      <name val="宋体"/>
      <family val="3"/>
      <charset val="134"/>
    </font>
    <font>
      <sz val="11"/>
      <name val="Times New Roman"/>
      <family val="1"/>
    </font>
    <font>
      <sz val="11"/>
      <name val="宋体"/>
      <family val="3"/>
      <charset val="134"/>
    </font>
    <font>
      <sz val="10"/>
      <name val="Times New Roman"/>
      <family val="1"/>
    </font>
    <font>
      <sz val="10"/>
      <color theme="1"/>
      <name val="Times New Roman"/>
      <family val="1"/>
    </font>
    <font>
      <sz val="10"/>
      <color theme="1"/>
      <name val="宋体"/>
      <family val="3"/>
      <charset val="134"/>
    </font>
    <font>
      <sz val="10"/>
      <color theme="1"/>
      <name val="宋体"/>
      <family val="2"/>
      <charset val="134"/>
    </font>
    <font>
      <sz val="11"/>
      <color theme="1"/>
      <name val="Times New Roman"/>
      <family val="1"/>
    </font>
    <font>
      <sz val="10"/>
      <color indexed="10"/>
      <name val="Times New Roman"/>
      <family val="1"/>
    </font>
    <font>
      <u/>
      <sz val="11"/>
      <color theme="10"/>
      <name val="宋体"/>
      <family val="2"/>
      <charset val="134"/>
      <scheme val="minor"/>
    </font>
    <font>
      <sz val="11"/>
      <color indexed="8"/>
      <name val="宋体"/>
      <family val="3"/>
      <charset val="134"/>
    </font>
    <font>
      <b/>
      <sz val="10"/>
      <color theme="1"/>
      <name val="Times New Roman"/>
      <family val="1"/>
    </font>
    <font>
      <b/>
      <sz val="10"/>
      <color theme="1"/>
      <name val="宋体"/>
      <family val="3"/>
      <charset val="134"/>
    </font>
    <font>
      <b/>
      <sz val="10"/>
      <color theme="1"/>
      <name val="宋体"/>
      <family val="2"/>
      <charset val="134"/>
    </font>
    <font>
      <sz val="10"/>
      <color theme="1"/>
      <name val="宋体"/>
      <family val="2"/>
      <charset val="134"/>
      <scheme val="minor"/>
    </font>
    <font>
      <b/>
      <sz val="10"/>
      <color theme="1"/>
      <name val="宋体"/>
      <family val="3"/>
      <charset val="134"/>
      <scheme val="minor"/>
    </font>
    <font>
      <sz val="10"/>
      <color theme="1"/>
      <name val="宋体"/>
      <family val="3"/>
      <charset val="134"/>
      <scheme val="minor"/>
    </font>
    <font>
      <sz val="10"/>
      <color indexed="10"/>
      <name val="宋体"/>
      <family val="3"/>
      <charset val="134"/>
    </font>
    <font>
      <sz val="11"/>
      <color theme="1"/>
      <name val="宋体"/>
      <family val="3"/>
      <charset val="134"/>
      <scheme val="minor"/>
    </font>
    <font>
      <b/>
      <sz val="12"/>
      <name val="Times New Roman"/>
      <family val="1"/>
    </font>
    <font>
      <b/>
      <sz val="12"/>
      <name val="宋体"/>
      <family val="3"/>
      <charset val="134"/>
    </font>
    <font>
      <sz val="12"/>
      <color theme="1"/>
      <name val="Times New Roman"/>
      <family val="1"/>
    </font>
    <font>
      <sz val="12"/>
      <name val="Times New Roman"/>
      <family val="1"/>
    </font>
    <font>
      <b/>
      <sz val="14"/>
      <color theme="1"/>
      <name val="宋体"/>
      <family val="3"/>
      <charset val="134"/>
    </font>
    <font>
      <b/>
      <sz val="14"/>
      <color theme="1"/>
      <name val="Times New Roman"/>
      <family val="1"/>
    </font>
    <font>
      <sz val="9"/>
      <color theme="1"/>
      <name val="宋体"/>
      <family val="3"/>
      <charset val="134"/>
      <scheme val="minor"/>
    </font>
    <font>
      <sz val="9"/>
      <color theme="1"/>
      <name val="宋体"/>
      <family val="2"/>
      <charset val="134"/>
      <scheme val="minor"/>
    </font>
    <font>
      <b/>
      <sz val="10"/>
      <color indexed="8"/>
      <name val="宋体"/>
      <family val="3"/>
      <charset val="134"/>
    </font>
    <font>
      <b/>
      <sz val="10"/>
      <name val="Times New Roman"/>
      <family val="1"/>
    </font>
    <font>
      <sz val="10"/>
      <color indexed="8"/>
      <name val="宋体"/>
      <family val="3"/>
      <charset val="134"/>
    </font>
    <font>
      <u/>
      <sz val="11"/>
      <color theme="10"/>
      <name val="宋体"/>
      <family val="3"/>
      <charset val="134"/>
      <scheme val="minor"/>
    </font>
    <font>
      <sz val="11"/>
      <color indexed="8"/>
      <name val="Times New Roman"/>
      <family val="1"/>
    </font>
    <font>
      <sz val="9"/>
      <name val="Times New Roman"/>
      <family val="1"/>
    </font>
    <font>
      <sz val="12"/>
      <color rgb="FF4C4C4C"/>
      <name val="微软雅黑"/>
      <family val="2"/>
      <charset val="134"/>
    </font>
    <font>
      <sz val="11"/>
      <color rgb="FF000000"/>
      <name val="微软雅黑"/>
      <family val="2"/>
      <charset val="134"/>
    </font>
    <font>
      <sz val="11"/>
      <color rgb="FF131313"/>
      <name val="微软雅黑"/>
      <family val="2"/>
      <charset val="134"/>
    </font>
    <font>
      <b/>
      <sz val="12"/>
      <color theme="1"/>
      <name val="宋体"/>
      <family val="3"/>
      <charset val="134"/>
      <scheme val="minor"/>
    </font>
    <font>
      <b/>
      <sz val="14"/>
      <color theme="1"/>
      <name val="宋体"/>
      <family val="3"/>
      <charset val="134"/>
      <scheme val="minor"/>
    </font>
    <font>
      <sz val="9"/>
      <color indexed="8"/>
      <name val="宋体"/>
      <family val="3"/>
      <charset val="134"/>
    </font>
    <font>
      <b/>
      <sz val="10"/>
      <color indexed="10"/>
      <name val="宋体"/>
      <family val="3"/>
      <charset val="134"/>
    </font>
    <font>
      <sz val="10"/>
      <color indexed="8"/>
      <name val="Arial Unicode MS"/>
      <family val="2"/>
    </font>
    <font>
      <b/>
      <sz val="18"/>
      <name val="宋体"/>
      <family val="3"/>
      <charset val="134"/>
    </font>
    <font>
      <sz val="11"/>
      <color theme="1"/>
      <name val="宋体"/>
      <family val="3"/>
      <charset val="134"/>
    </font>
    <font>
      <sz val="10"/>
      <name val="Arial"/>
      <family val="2"/>
    </font>
    <font>
      <sz val="10"/>
      <name val="Helv"/>
      <family val="2"/>
    </font>
    <font>
      <sz val="12"/>
      <color indexed="9"/>
      <name val="宋体"/>
      <family val="3"/>
      <charset val="134"/>
    </font>
    <font>
      <sz val="12"/>
      <color indexed="8"/>
      <name val="宋体"/>
      <family val="3"/>
      <charset val="134"/>
    </font>
    <font>
      <sz val="8"/>
      <name val="Times New Roman"/>
      <family val="1"/>
    </font>
    <font>
      <sz val="7"/>
      <name val="Helv"/>
      <family val="2"/>
    </font>
    <font>
      <b/>
      <sz val="10"/>
      <name val="MS Sans Serif"/>
      <family val="2"/>
    </font>
    <font>
      <b/>
      <sz val="10"/>
      <name val="Helv"/>
      <family val="2"/>
    </font>
    <font>
      <sz val="10"/>
      <name val="MS Sans Serif"/>
      <family val="2"/>
    </font>
    <font>
      <u/>
      <sz val="7"/>
      <color indexed="36"/>
      <name val="Arial"/>
      <family val="2"/>
    </font>
    <font>
      <sz val="8"/>
      <name val="Arial"/>
      <family val="2"/>
    </font>
    <font>
      <b/>
      <sz val="12"/>
      <name val="Helv"/>
      <family val="2"/>
    </font>
    <font>
      <b/>
      <sz val="12"/>
      <name val="Arial"/>
      <family val="2"/>
    </font>
    <font>
      <u/>
      <sz val="7"/>
      <color indexed="12"/>
      <name val="Arial"/>
      <family val="2"/>
    </font>
    <font>
      <b/>
      <sz val="11"/>
      <name val="Helv"/>
      <family val="2"/>
    </font>
    <font>
      <sz val="10"/>
      <name val="Courier"/>
      <family val="3"/>
    </font>
    <font>
      <b/>
      <i/>
      <sz val="16"/>
      <name val="Helv"/>
      <family val="2"/>
    </font>
    <font>
      <sz val="7"/>
      <color indexed="10"/>
      <name val="Helv"/>
      <family val="2"/>
    </font>
    <font>
      <sz val="11"/>
      <name val="俵俽 柧挬"/>
      <family val="2"/>
    </font>
    <font>
      <b/>
      <sz val="18"/>
      <color indexed="62"/>
      <name val="宋体"/>
      <family val="3"/>
      <charset val="134"/>
    </font>
    <font>
      <sz val="11"/>
      <color indexed="20"/>
      <name val="宋体"/>
      <family val="3"/>
      <charset val="134"/>
    </font>
    <font>
      <sz val="12"/>
      <color indexed="16"/>
      <name val="宋体"/>
      <family val="3"/>
      <charset val="134"/>
    </font>
    <font>
      <u/>
      <sz val="12"/>
      <color indexed="12"/>
      <name val="宋体"/>
      <family val="3"/>
      <charset val="134"/>
    </font>
    <font>
      <sz val="12"/>
      <color indexed="17"/>
      <name val="宋体"/>
      <family val="3"/>
      <charset val="134"/>
    </font>
    <font>
      <sz val="11"/>
      <color indexed="17"/>
      <name val="宋体"/>
      <family val="3"/>
      <charset val="134"/>
    </font>
    <font>
      <sz val="11"/>
      <name val="ＭＳ Ｐゴシック"/>
      <family val="2"/>
      <charset val="134"/>
    </font>
    <font>
      <sz val="12"/>
      <name val="바탕체"/>
      <family val="3"/>
    </font>
    <font>
      <b/>
      <sz val="12"/>
      <color indexed="8"/>
      <name val="宋体"/>
      <family val="3"/>
      <charset val="134"/>
    </font>
    <font>
      <sz val="10"/>
      <name val="Arial Narrow"/>
      <family val="2"/>
    </font>
    <font>
      <u val="singleAccounting"/>
      <vertAlign val="subscript"/>
      <sz val="10"/>
      <name val="Times New Roman"/>
      <family val="1"/>
    </font>
    <font>
      <i/>
      <sz val="9"/>
      <name val="Times New Roman"/>
      <family val="1"/>
    </font>
    <font>
      <sz val="13"/>
      <name val="Tms Rmn"/>
      <family val="1"/>
    </font>
    <font>
      <sz val="11"/>
      <color indexed="9"/>
      <name val="宋体"/>
      <family val="3"/>
      <charset val="134"/>
    </font>
    <font>
      <sz val="10"/>
      <color indexed="8"/>
      <name val="Arial"/>
      <family val="2"/>
    </font>
    <font>
      <b/>
      <sz val="13"/>
      <name val="Tms Rmn"/>
      <family val="1"/>
    </font>
    <font>
      <b/>
      <sz val="8"/>
      <name val="Arial"/>
      <family val="2"/>
    </font>
    <font>
      <sz val="10"/>
      <name val="MS Serif"/>
      <family val="1"/>
    </font>
    <font>
      <sz val="10"/>
      <color indexed="16"/>
      <name val="MS Serif"/>
      <family val="1"/>
    </font>
    <font>
      <sz val="7"/>
      <name val="Small Fonts"/>
      <family val="2"/>
    </font>
    <font>
      <sz val="10"/>
      <color indexed="8"/>
      <name val="MS Sans Serif"/>
      <family val="2"/>
    </font>
    <font>
      <sz val="10"/>
      <name val="Tms Rmn"/>
      <family val="1"/>
    </font>
    <font>
      <sz val="8"/>
      <color indexed="16"/>
      <name val="Century Schoolbook"/>
      <family val="1"/>
    </font>
    <font>
      <b/>
      <i/>
      <sz val="10"/>
      <name val="Times New Roman"/>
      <family val="1"/>
    </font>
    <font>
      <b/>
      <sz val="12"/>
      <name val="MS Sans Serif"/>
      <family val="2"/>
    </font>
    <font>
      <sz val="12"/>
      <name val="MS Sans Serif"/>
      <family val="2"/>
    </font>
    <font>
      <b/>
      <sz val="8"/>
      <color indexed="8"/>
      <name val="Helv"/>
      <family val="2"/>
    </font>
    <font>
      <b/>
      <sz val="9"/>
      <name val="Times New Roman"/>
      <family val="1"/>
    </font>
    <font>
      <sz val="11"/>
      <name val="明朝"/>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sz val="8"/>
      <name val="Century Schoolbook"/>
      <family val="1"/>
    </font>
    <font>
      <sz val="11"/>
      <color indexed="26"/>
      <name val="宋体"/>
      <family val="3"/>
      <charset val="134"/>
    </font>
    <font>
      <sz val="11"/>
      <color indexed="38"/>
      <name val="宋体"/>
      <family val="3"/>
      <charset val="134"/>
    </font>
    <font>
      <sz val="10"/>
      <name val="Geneva"/>
      <family val="2"/>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官帕眉"/>
      <family val="2"/>
    </font>
    <font>
      <sz val="10"/>
      <name val="奔覆眉"/>
      <family val="2"/>
    </font>
    <font>
      <sz val="11"/>
      <color indexed="60"/>
      <name val="宋体"/>
      <family val="3"/>
      <charset val="134"/>
    </font>
    <font>
      <b/>
      <sz val="11"/>
      <color indexed="63"/>
      <name val="宋体"/>
      <family val="3"/>
      <charset val="134"/>
    </font>
    <font>
      <sz val="11"/>
      <color indexed="62"/>
      <name val="宋体"/>
      <family val="3"/>
      <charset val="134"/>
    </font>
    <font>
      <sz val="10"/>
      <color indexed="8"/>
      <name val="Times New Roman"/>
      <family val="1"/>
    </font>
    <font>
      <sz val="12"/>
      <color indexed="8"/>
      <name val="Times New Roman"/>
      <family val="1"/>
    </font>
    <font>
      <i/>
      <sz val="12"/>
      <name val="Times New Roman"/>
      <family val="1"/>
    </font>
    <font>
      <sz val="18"/>
      <name val="Times New Roman"/>
      <family val="1"/>
    </font>
    <font>
      <sz val="12"/>
      <name val="Tms Rmn"/>
      <family val="1"/>
    </font>
    <font>
      <b/>
      <sz val="13"/>
      <name val="Times New Roman"/>
      <family val="1"/>
    </font>
    <font>
      <b/>
      <i/>
      <sz val="12"/>
      <name val="Times New Roman"/>
      <family val="1"/>
    </font>
    <font>
      <b/>
      <sz val="14"/>
      <color indexed="9"/>
      <name val="Times New Roman"/>
      <family val="1"/>
    </font>
    <font>
      <sz val="10"/>
      <color indexed="20"/>
      <name val="宋体"/>
      <family val="3"/>
      <charset val="134"/>
    </font>
    <font>
      <sz val="12"/>
      <color indexed="20"/>
      <name val="宋体"/>
      <family val="3"/>
      <charset val="134"/>
    </font>
    <font>
      <sz val="10"/>
      <color indexed="17"/>
      <name val="宋体"/>
      <family val="3"/>
      <charset val="134"/>
    </font>
    <font>
      <sz val="14"/>
      <name val="Times New Roman"/>
      <family val="1"/>
    </font>
    <font>
      <sz val="12"/>
      <color indexed="12"/>
      <name val="Times New Roman"/>
      <family val="1"/>
    </font>
    <font>
      <sz val="10"/>
      <color indexed="12"/>
      <name val="Arial"/>
      <family val="2"/>
    </font>
    <font>
      <sz val="10"/>
      <name val="Courier New"/>
      <family val="3"/>
    </font>
    <font>
      <sz val="10"/>
      <name val="BERNHARD"/>
      <family val="1"/>
    </font>
    <font>
      <sz val="1"/>
      <color indexed="8"/>
      <name val="Courier"/>
      <family val="3"/>
    </font>
    <font>
      <b/>
      <sz val="1"/>
      <color indexed="8"/>
      <name val="Courier"/>
      <family val="3"/>
    </font>
    <font>
      <sz val="10"/>
      <color indexed="22"/>
      <name val="Arial"/>
      <family val="2"/>
    </font>
    <font>
      <sz val="10"/>
      <name val="Verdana"/>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11"/>
      <color indexed="21"/>
      <name val="宋体"/>
      <family val="3"/>
      <charset val="134"/>
    </font>
    <font>
      <sz val="20"/>
      <name val="Times New Roman"/>
      <family val="1"/>
    </font>
    <font>
      <b/>
      <sz val="11"/>
      <name val="Times New Roman"/>
      <family val="1"/>
    </font>
    <font>
      <sz val="12"/>
      <name val="Arial"/>
      <family val="2"/>
    </font>
    <font>
      <sz val="11"/>
      <color indexed="24"/>
      <name val="宋体"/>
      <family val="3"/>
      <charset val="134"/>
    </font>
    <font>
      <sz val="11"/>
      <color indexed="36"/>
      <name val="宋体"/>
      <family val="3"/>
      <charset val="134"/>
    </font>
    <font>
      <b/>
      <sz val="12"/>
      <color indexed="9"/>
      <name val="Times New Roman"/>
      <family val="1"/>
    </font>
    <font>
      <b/>
      <sz val="11"/>
      <color indexed="10"/>
      <name val="宋体"/>
      <family val="3"/>
      <charset val="134"/>
    </font>
    <font>
      <sz val="9"/>
      <name val="Arial MT"/>
      <family val="2"/>
    </font>
    <font>
      <sz val="11"/>
      <color indexed="8"/>
      <name val="Calibri"/>
      <family val="2"/>
    </font>
    <font>
      <sz val="11"/>
      <color indexed="9"/>
      <name val="Calibri"/>
      <family val="2"/>
    </font>
    <font>
      <sz val="12"/>
      <color indexed="9"/>
      <name val="Times New Roman"/>
      <family val="1"/>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8"/>
      <color indexed="8"/>
      <name val="宋体"/>
      <family val="3"/>
      <charset val="134"/>
    </font>
    <font>
      <b/>
      <sz val="15"/>
      <color indexed="56"/>
      <name val="Calibri"/>
      <family val="2"/>
    </font>
    <font>
      <b/>
      <sz val="13"/>
      <color indexed="56"/>
      <name val="Calibri"/>
      <family val="2"/>
    </font>
    <font>
      <b/>
      <sz val="11"/>
      <color indexed="56"/>
      <name val="Calibri"/>
      <family val="2"/>
    </font>
    <font>
      <sz val="5"/>
      <color indexed="10"/>
      <name val="宋体"/>
      <family val="3"/>
      <charset val="134"/>
    </font>
    <font>
      <sz val="11"/>
      <color indexed="52"/>
      <name val="Calibri"/>
      <family val="2"/>
    </font>
    <font>
      <sz val="11"/>
      <color indexed="60"/>
      <name val="Calibri"/>
      <family val="2"/>
    </font>
    <font>
      <b/>
      <sz val="11"/>
      <color indexed="63"/>
      <name val="Calibri"/>
      <family val="2"/>
    </font>
    <font>
      <sz val="11"/>
      <color indexed="10"/>
      <name val="Calibri"/>
      <family val="2"/>
    </font>
    <font>
      <b/>
      <sz val="18"/>
      <color indexed="56"/>
      <name val="Cambria"/>
      <family val="1"/>
    </font>
    <font>
      <b/>
      <sz val="15"/>
      <color indexed="56"/>
      <name val="Times New Roman"/>
      <family val="1"/>
    </font>
    <font>
      <b/>
      <sz val="13"/>
      <color indexed="56"/>
      <name val="Times New Roman"/>
      <family val="1"/>
    </font>
    <font>
      <b/>
      <sz val="11"/>
      <color indexed="56"/>
      <name val="Times New Roman"/>
      <family val="1"/>
    </font>
    <font>
      <u/>
      <sz val="12"/>
      <color indexed="12"/>
      <name val="Times New Roman"/>
      <family val="1"/>
    </font>
    <font>
      <sz val="12"/>
      <color indexed="17"/>
      <name val="Times New Roman"/>
      <family val="1"/>
    </font>
    <font>
      <b/>
      <sz val="12"/>
      <color indexed="8"/>
      <name val="Times New Roman"/>
      <family val="1"/>
    </font>
    <font>
      <sz val="12"/>
      <color indexed="20"/>
      <name val="Times New Roman"/>
      <family val="1"/>
    </font>
    <font>
      <b/>
      <sz val="12"/>
      <color indexed="52"/>
      <name val="Times New Roman"/>
      <family val="1"/>
    </font>
    <font>
      <sz val="12"/>
      <color indexed="10"/>
      <name val="Times New Roman"/>
      <family val="1"/>
    </font>
    <font>
      <sz val="12"/>
      <color indexed="52"/>
      <name val="Times New Roman"/>
      <family val="1"/>
    </font>
    <font>
      <b/>
      <sz val="12"/>
      <color indexed="63"/>
      <name val="Times New Roman"/>
      <family val="1"/>
    </font>
    <font>
      <sz val="12"/>
      <color indexed="62"/>
      <name val="Times New Roman"/>
      <family val="1"/>
    </font>
    <font>
      <i/>
      <sz val="12"/>
      <color indexed="23"/>
      <name val="Times New Roman"/>
      <family val="1"/>
    </font>
    <font>
      <sz val="12"/>
      <color indexed="60"/>
      <name val="Times New Roman"/>
      <family val="1"/>
    </font>
    <font>
      <b/>
      <sz val="10"/>
      <name val="Arial"/>
      <family val="2"/>
    </font>
    <font>
      <sz val="9"/>
      <name val="Arial"/>
      <family val="2"/>
    </font>
    <font>
      <sz val="11"/>
      <name val="Arial"/>
      <family val="2"/>
    </font>
    <font>
      <sz val="10"/>
      <color indexed="9"/>
      <name val="宋体"/>
      <family val="3"/>
      <charset val="134"/>
    </font>
    <font>
      <b/>
      <sz val="10"/>
      <color indexed="52"/>
      <name val="宋体"/>
      <family val="3"/>
      <charset val="134"/>
    </font>
    <font>
      <sz val="11"/>
      <color indexed="42"/>
      <name val="宋体"/>
      <family val="3"/>
      <charset val="134"/>
    </font>
    <font>
      <sz val="10"/>
      <name val="ＭＳ Ｐゴシック"/>
      <family val="2"/>
    </font>
    <font>
      <b/>
      <sz val="10"/>
      <name val="Geneva"/>
      <family val="2"/>
    </font>
    <font>
      <b/>
      <sz val="11"/>
      <color indexed="42"/>
      <name val="宋体"/>
      <family val="3"/>
      <charset val="134"/>
    </font>
    <font>
      <sz val="10"/>
      <color indexed="9"/>
      <name val="Arial"/>
      <family val="2"/>
    </font>
    <font>
      <sz val="11"/>
      <name val="MS P????"/>
      <family val="3"/>
    </font>
    <font>
      <i/>
      <sz val="10"/>
      <name val="Arial"/>
      <family val="2"/>
    </font>
    <font>
      <sz val="10"/>
      <color indexed="17"/>
      <name val="Arial"/>
      <family val="2"/>
    </font>
    <font>
      <b/>
      <sz val="8"/>
      <name val="MS Sans Serif"/>
      <family val="2"/>
    </font>
    <font>
      <b/>
      <sz val="9"/>
      <color indexed="24"/>
      <name val="Arial"/>
      <family val="2"/>
    </font>
    <font>
      <sz val="8"/>
      <color indexed="12"/>
      <name val="Times New Roman"/>
      <family val="1"/>
    </font>
    <font>
      <sz val="12"/>
      <name val="Helv"/>
      <family val="2"/>
    </font>
    <font>
      <sz val="11"/>
      <name val="?? ??"/>
      <family val="2"/>
    </font>
    <font>
      <b/>
      <sz val="10"/>
      <name val="Univers (WN)"/>
      <family val="2"/>
    </font>
    <font>
      <b/>
      <sz val="12"/>
      <color indexed="61"/>
      <name val="Arial"/>
      <family val="2"/>
    </font>
    <font>
      <b/>
      <sz val="11"/>
      <color indexed="62"/>
      <name val="宋体"/>
      <family val="3"/>
      <charset val="134"/>
    </font>
    <font>
      <sz val="8"/>
      <name val="CG Times (E1)"/>
      <family val="1"/>
    </font>
    <font>
      <sz val="12"/>
      <name val="楷体"/>
      <family val="3"/>
      <charset val="134"/>
    </font>
    <font>
      <b/>
      <sz val="11"/>
      <name val="Arial"/>
      <family val="2"/>
    </font>
    <font>
      <u/>
      <sz val="8.25"/>
      <color indexed="12"/>
      <name val="?? ?????"/>
      <family val="3"/>
    </font>
    <font>
      <sz val="10"/>
      <name val="Univers (WN)"/>
      <family val="2"/>
    </font>
    <font>
      <b/>
      <sz val="10"/>
      <name val="Tms Rmn"/>
      <family val="1"/>
    </font>
    <font>
      <sz val="10"/>
      <color indexed="20"/>
      <name val="Arial"/>
      <family val="2"/>
    </font>
    <font>
      <b/>
      <sz val="13"/>
      <color indexed="62"/>
      <name val="宋体"/>
      <family val="3"/>
      <charset val="134"/>
    </font>
    <font>
      <u/>
      <sz val="10"/>
      <name val="Arial"/>
      <family val="2"/>
    </font>
    <font>
      <b/>
      <sz val="12"/>
      <name val="Univers (WN)"/>
      <family val="2"/>
    </font>
    <font>
      <sz val="12"/>
      <name val="Courier"/>
      <family val="3"/>
    </font>
    <font>
      <b/>
      <sz val="15"/>
      <color indexed="62"/>
      <name val="宋体"/>
      <family val="3"/>
      <charset val="134"/>
    </font>
    <font>
      <sz val="10"/>
      <name val="Univers (E1)"/>
      <family val="2"/>
    </font>
    <font>
      <sz val="8"/>
      <name val="Helv"/>
      <family val="2"/>
    </font>
    <font>
      <sz val="11"/>
      <color indexed="12"/>
      <name val="Times New Roman"/>
      <family val="1"/>
    </font>
    <font>
      <b/>
      <sz val="10"/>
      <color indexed="31"/>
      <name val="Arial"/>
      <family val="2"/>
    </font>
    <font>
      <sz val="8"/>
      <color indexed="9"/>
      <name val="Arial"/>
      <family val="2"/>
    </font>
    <font>
      <b/>
      <sz val="12"/>
      <color indexed="45"/>
      <name val="Arial"/>
      <family val="2"/>
    </font>
    <font>
      <sz val="10"/>
      <color indexed="62"/>
      <name val="宋体"/>
      <family val="3"/>
      <charset val="134"/>
    </font>
    <font>
      <sz val="11"/>
      <name val="俵俽 俹僑僔僢僋"/>
      <family val="2"/>
    </font>
    <font>
      <sz val="10"/>
      <color indexed="60"/>
      <name val="宋体"/>
      <family val="3"/>
      <charset val="134"/>
    </font>
    <font>
      <u/>
      <sz val="12"/>
      <color indexed="36"/>
      <name val="宋体"/>
      <family val="3"/>
      <charset val="134"/>
    </font>
    <font>
      <b/>
      <sz val="10"/>
      <color indexed="9"/>
      <name val="宋体"/>
      <family val="3"/>
      <charset val="134"/>
    </font>
    <font>
      <i/>
      <sz val="10"/>
      <color indexed="23"/>
      <name val="宋体"/>
      <family val="3"/>
      <charset val="134"/>
    </font>
    <font>
      <sz val="10"/>
      <color indexed="52"/>
      <name val="宋体"/>
      <family val="3"/>
      <charset val="134"/>
    </font>
    <font>
      <b/>
      <sz val="10"/>
      <color indexed="63"/>
      <name val="宋体"/>
      <family val="3"/>
      <charset val="134"/>
    </font>
    <font>
      <sz val="11"/>
      <color indexed="19"/>
      <name val="宋体"/>
      <family val="3"/>
      <charset val="134"/>
    </font>
    <font>
      <sz val="11"/>
      <color rgb="FF9C0006"/>
      <name val="宋体"/>
      <family val="3"/>
      <charset val="134"/>
    </font>
    <font>
      <sz val="12"/>
      <color theme="1"/>
      <name val="宋体"/>
      <family val="3"/>
      <charset val="134"/>
    </font>
    <font>
      <u/>
      <sz val="9"/>
      <color theme="10"/>
      <name val="宋体"/>
      <family val="3"/>
      <charset val="134"/>
    </font>
    <font>
      <u/>
      <sz val="10"/>
      <color theme="10"/>
      <name val="Arial"/>
      <family val="2"/>
    </font>
    <font>
      <sz val="11"/>
      <color rgb="FF006100"/>
      <name val="宋体"/>
      <family val="3"/>
      <charset val="134"/>
    </font>
    <font>
      <sz val="8"/>
      <color theme="1"/>
      <name val="Times New Roman"/>
      <family val="1"/>
    </font>
    <font>
      <sz val="6"/>
      <color theme="1"/>
      <name val="宋体"/>
      <family val="2"/>
      <charset val="134"/>
      <scheme val="minor"/>
    </font>
    <font>
      <b/>
      <sz val="9"/>
      <color theme="1"/>
      <name val="宋体"/>
      <family val="3"/>
      <charset val="134"/>
      <scheme val="minor"/>
    </font>
    <font>
      <sz val="11"/>
      <color theme="1"/>
      <name val="宋体"/>
      <family val="2"/>
    </font>
    <font>
      <b/>
      <sz val="9"/>
      <color rgb="FFFF0000"/>
      <name val="宋体"/>
      <family val="2"/>
    </font>
    <font>
      <sz val="9"/>
      <color theme="1"/>
      <name val="宋体"/>
      <family val="3"/>
      <charset val="134"/>
    </font>
    <font>
      <sz val="9"/>
      <name val="宋体"/>
      <family val="3"/>
      <charset val="134"/>
      <scheme val="minor"/>
    </font>
    <font>
      <b/>
      <sz val="18"/>
      <name val="Times New Roman"/>
      <family val="1"/>
    </font>
    <font>
      <u/>
      <sz val="10"/>
      <color theme="0"/>
      <name val="Arial"/>
      <family val="2"/>
    </font>
    <font>
      <b/>
      <sz val="10"/>
      <name val="宋体"/>
      <family val="3"/>
      <charset val="134"/>
    </font>
    <font>
      <b/>
      <sz val="10"/>
      <color indexed="55"/>
      <name val="宋体"/>
      <family val="3"/>
      <charset val="134"/>
    </font>
    <font>
      <sz val="10"/>
      <color rgb="FF000000"/>
      <name val="宋体"/>
      <family val="3"/>
      <charset val="134"/>
    </font>
    <font>
      <sz val="9"/>
      <color theme="1"/>
      <name val="Times New Roman"/>
      <family val="1"/>
    </font>
    <font>
      <sz val="10"/>
      <color theme="1"/>
      <name val="宋体"/>
      <family val="2"/>
    </font>
    <font>
      <sz val="9"/>
      <color theme="1"/>
      <name val="宋体"/>
      <family val="2"/>
      <scheme val="minor"/>
    </font>
    <font>
      <b/>
      <sz val="9"/>
      <color indexed="8"/>
      <name val="宋体"/>
      <family val="3"/>
      <charset val="134"/>
    </font>
    <font>
      <sz val="9"/>
      <color theme="1"/>
      <name val="Times New Roman"/>
      <family val="3"/>
      <charset val="134"/>
    </font>
    <font>
      <b/>
      <sz val="16"/>
      <name val="宋体"/>
      <family val="3"/>
      <charset val="134"/>
    </font>
    <font>
      <b/>
      <sz val="10"/>
      <name val="Arial Narrow"/>
      <family val="2"/>
    </font>
    <font>
      <b/>
      <sz val="9"/>
      <name val="Arial Narrow"/>
      <family val="2"/>
    </font>
    <font>
      <sz val="12"/>
      <name val="Calibri"/>
      <family val="2"/>
    </font>
    <font>
      <b/>
      <sz val="22"/>
      <color theme="0"/>
      <name val="宋体"/>
      <family val="3"/>
      <charset val="134"/>
    </font>
    <font>
      <b/>
      <sz val="22"/>
      <color theme="0"/>
      <name val="Times New Roman"/>
      <family val="1"/>
    </font>
    <font>
      <b/>
      <sz val="12"/>
      <color theme="1"/>
      <name val="Times New Roman"/>
      <family val="1"/>
    </font>
    <font>
      <sz val="9"/>
      <color theme="1"/>
      <name val="宋体"/>
      <family val="2"/>
      <charset val="134"/>
    </font>
    <font>
      <sz val="10"/>
      <color indexed="8"/>
      <name val="Times New Roman"/>
      <family val="3"/>
      <charset val="134"/>
    </font>
    <font>
      <sz val="9"/>
      <color indexed="81"/>
      <name val="宋体"/>
      <family val="3"/>
      <charset val="134"/>
    </font>
    <font>
      <b/>
      <sz val="9"/>
      <color indexed="81"/>
      <name val="宋体"/>
      <family val="3"/>
      <charset val="134"/>
    </font>
    <font>
      <b/>
      <sz val="10"/>
      <color indexed="8"/>
      <name val="Times New Roman"/>
      <family val="1"/>
    </font>
    <font>
      <sz val="9"/>
      <color indexed="81"/>
      <name val="Tahoma"/>
      <family val="2"/>
    </font>
    <font>
      <sz val="10"/>
      <name val="宋体"/>
      <family val="3"/>
      <charset val="134"/>
      <scheme val="minor"/>
    </font>
    <font>
      <b/>
      <sz val="10"/>
      <name val="宋体"/>
      <family val="3"/>
      <charset val="134"/>
      <scheme val="minor"/>
    </font>
    <font>
      <b/>
      <sz val="10"/>
      <color indexed="8"/>
      <name val="宋体"/>
      <family val="3"/>
      <charset val="134"/>
      <scheme val="minor"/>
    </font>
    <font>
      <b/>
      <sz val="10"/>
      <color rgb="FF000000"/>
      <name val="宋体"/>
      <family val="3"/>
      <charset val="134"/>
      <scheme val="minor"/>
    </font>
    <font>
      <sz val="10"/>
      <color theme="1"/>
      <name val="Arial Narrow"/>
      <family val="2"/>
    </font>
    <font>
      <sz val="22"/>
      <color theme="1"/>
      <name val="华文楷体"/>
      <family val="3"/>
      <charset val="134"/>
    </font>
    <font>
      <vertAlign val="subscript"/>
      <sz val="22"/>
      <color theme="1"/>
      <name val="华文楷体"/>
      <family val="3"/>
      <charset val="134"/>
    </font>
    <font>
      <sz val="11"/>
      <color theme="1"/>
      <name val="华文楷体"/>
      <family val="3"/>
      <charset val="134"/>
    </font>
    <font>
      <b/>
      <sz val="10"/>
      <name val="华文楷体"/>
      <family val="3"/>
      <charset val="134"/>
    </font>
    <font>
      <sz val="10"/>
      <color indexed="8"/>
      <name val="微软雅黑"/>
      <family val="2"/>
      <charset val="134"/>
    </font>
    <font>
      <sz val="10"/>
      <name val="华文楷体"/>
      <family val="3"/>
      <charset val="134"/>
    </font>
    <font>
      <b/>
      <sz val="10"/>
      <color theme="1"/>
      <name val="Arial Narrow"/>
      <family val="2"/>
    </font>
    <font>
      <b/>
      <sz val="10"/>
      <color rgb="FF000000"/>
      <name val="宋体"/>
      <family val="3"/>
      <charset val="134"/>
    </font>
    <font>
      <sz val="10"/>
      <color rgb="FF000000"/>
      <name val="Times New Roman"/>
      <family val="1"/>
    </font>
    <font>
      <b/>
      <sz val="11"/>
      <color theme="1"/>
      <name val="宋体"/>
      <family val="3"/>
      <charset val="134"/>
      <scheme val="minor"/>
    </font>
    <font>
      <sz val="10"/>
      <color indexed="8"/>
      <name val="宋体"/>
      <family val="3"/>
      <charset val="134"/>
      <scheme val="minor"/>
    </font>
    <font>
      <sz val="10"/>
      <color indexed="10"/>
      <name val="宋体"/>
      <family val="3"/>
      <charset val="134"/>
      <scheme val="minor"/>
    </font>
    <font>
      <b/>
      <sz val="9"/>
      <name val="宋体"/>
      <family val="3"/>
      <charset val="134"/>
    </font>
    <font>
      <sz val="9"/>
      <name val="Tahoma"/>
      <family val="2"/>
    </font>
    <font>
      <b/>
      <sz val="10"/>
      <color indexed="8"/>
      <name val="Times New Roman"/>
      <family val="3"/>
      <charset val="134"/>
    </font>
    <font>
      <b/>
      <sz val="10"/>
      <color indexed="8"/>
      <name val="宋体"/>
      <family val="2"/>
      <charset val="134"/>
    </font>
    <font>
      <b/>
      <sz val="10"/>
      <color indexed="8"/>
      <name val="Times New Roman"/>
      <family val="2"/>
      <charset val="134"/>
    </font>
  </fonts>
  <fills count="9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92D050"/>
        <bgColor indexed="64"/>
      </patternFill>
    </fill>
    <fill>
      <patternFill patternType="solid">
        <fgColor indexed="13"/>
        <bgColor indexed="64"/>
      </patternFill>
    </fill>
    <fill>
      <patternFill patternType="solid">
        <fgColor indexed="55"/>
        <bgColor indexed="64"/>
      </patternFill>
    </fill>
    <fill>
      <patternFill patternType="solid">
        <fgColor indexed="22"/>
        <bgColor indexed="64"/>
      </patternFill>
    </fill>
    <fill>
      <patternFill patternType="solid">
        <fgColor indexed="31"/>
      </patternFill>
    </fill>
    <fill>
      <patternFill patternType="solid">
        <fgColor indexed="9"/>
        <bgColor indexed="64"/>
      </patternFill>
    </fill>
    <fill>
      <patternFill patternType="solid">
        <fgColor indexed="45"/>
      </patternFill>
    </fill>
    <fill>
      <patternFill patternType="solid">
        <fgColor indexed="47"/>
        <bgColor indexed="64"/>
      </patternFill>
    </fill>
    <fill>
      <patternFill patternType="solid">
        <fgColor indexed="42"/>
      </patternFill>
    </fill>
    <fill>
      <patternFill patternType="solid">
        <fgColor indexed="26"/>
        <bgColor indexed="64"/>
      </patternFill>
    </fill>
    <fill>
      <patternFill patternType="solid">
        <fgColor indexed="46"/>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29"/>
        <bgColor indexed="64"/>
      </patternFill>
    </fill>
    <fill>
      <patternFill patternType="solid">
        <fgColor indexed="11"/>
      </patternFill>
    </fill>
    <fill>
      <patternFill patternType="solid">
        <fgColor indexed="43"/>
        <bgColor indexed="64"/>
      </patternFill>
    </fill>
    <fill>
      <patternFill patternType="solid">
        <fgColor indexed="44"/>
        <bgColor indexed="64"/>
      </patternFill>
    </fill>
    <fill>
      <patternFill patternType="solid">
        <fgColor indexed="51"/>
      </patternFill>
    </fill>
    <fill>
      <patternFill patternType="solid">
        <fgColor indexed="43"/>
      </patternFill>
    </fill>
    <fill>
      <patternFill patternType="solid">
        <fgColor indexed="30"/>
      </patternFill>
    </fill>
    <fill>
      <patternFill patternType="solid">
        <fgColor indexed="49"/>
        <bgColor indexed="64"/>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54"/>
        <bgColor indexed="54"/>
      </patternFill>
    </fill>
    <fill>
      <patternFill patternType="solid">
        <fgColor indexed="31"/>
        <bgColor indexed="31"/>
      </patternFill>
    </fill>
    <fill>
      <patternFill patternType="solid">
        <fgColor indexed="31"/>
        <bgColor indexed="64"/>
      </patternFill>
    </fill>
    <fill>
      <patternFill patternType="solid">
        <fgColor indexed="44"/>
        <bgColor indexed="44"/>
      </patternFill>
    </fill>
    <fill>
      <patternFill patternType="solid">
        <fgColor indexed="54"/>
        <bgColor indexed="6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64"/>
      </patternFill>
    </fill>
    <fill>
      <patternFill patternType="solid">
        <fgColor indexed="42"/>
        <bgColor indexed="42"/>
      </patternFill>
    </fill>
    <fill>
      <patternFill patternType="solid">
        <fgColor indexed="42"/>
        <bgColor indexed="64"/>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2"/>
        <bgColor indexed="64"/>
      </patternFill>
    </fill>
    <fill>
      <patternFill patternType="solid">
        <fgColor indexed="45"/>
        <bgColor indexed="64"/>
      </patternFill>
    </fill>
    <fill>
      <patternFill patternType="solid">
        <fgColor indexed="22"/>
      </patternFill>
    </fill>
    <fill>
      <patternFill patternType="solid">
        <fgColor indexed="55"/>
      </patternFill>
    </fill>
    <fill>
      <patternFill patternType="solid">
        <fgColor indexed="56"/>
        <bgColor indexed="64"/>
      </patternFill>
    </fill>
    <fill>
      <patternFill patternType="solid">
        <fgColor indexed="15"/>
      </patternFill>
    </fill>
    <fill>
      <patternFill patternType="solid">
        <fgColor indexed="15"/>
        <bgColor indexed="64"/>
      </patternFill>
    </fill>
    <fill>
      <patternFill patternType="solid">
        <fgColor indexed="12"/>
      </patternFill>
    </fill>
    <fill>
      <patternFill patternType="solid">
        <fgColor indexed="12"/>
        <bgColor indexed="64"/>
      </patternFill>
    </fill>
    <fill>
      <patternFill patternType="solid">
        <fgColor indexed="38"/>
        <bgColor indexed="64"/>
      </patternFill>
    </fill>
    <fill>
      <patternFill patternType="solid">
        <fgColor indexed="21"/>
        <bgColor indexed="64"/>
      </patternFill>
    </fill>
    <fill>
      <patternFill patternType="solid">
        <fgColor indexed="32"/>
        <bgColor indexed="64"/>
      </patternFill>
    </fill>
    <fill>
      <patternFill patternType="mediumGray">
        <fgColor indexed="22"/>
      </patternFill>
    </fill>
    <fill>
      <patternFill patternType="solid">
        <fgColor indexed="40"/>
        <bgColor indexed="64"/>
      </patternFill>
    </fill>
    <fill>
      <patternFill patternType="solid">
        <fgColor indexed="10"/>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40"/>
      </patternFill>
    </fill>
    <fill>
      <patternFill patternType="solid">
        <fgColor indexed="41"/>
        <bgColor indexed="64"/>
      </patternFill>
    </fill>
    <fill>
      <patternFill patternType="gray0625"/>
    </fill>
    <fill>
      <patternFill patternType="solid">
        <fgColor indexed="9"/>
        <bgColor indexed="9"/>
      </patternFill>
    </fill>
    <fill>
      <patternFill patternType="solid">
        <fgColor indexed="46"/>
        <bgColor indexed="64"/>
      </patternFill>
    </fill>
    <fill>
      <patternFill patternType="solid">
        <fgColor indexed="8"/>
        <bgColor indexed="64"/>
      </patternFill>
    </fill>
    <fill>
      <patternFill patternType="solid">
        <fgColor indexed="13"/>
      </patternFill>
    </fill>
    <fill>
      <patternFill patternType="solid">
        <fgColor indexed="51"/>
        <bgColor indexed="64"/>
      </patternFill>
    </fill>
    <fill>
      <patternFill patternType="solid">
        <fgColor indexed="53"/>
        <bgColor indexed="64"/>
      </patternFill>
    </fill>
    <fill>
      <patternFill patternType="solid">
        <fgColor indexed="45"/>
        <bgColor indexed="45"/>
      </patternFill>
    </fill>
    <fill>
      <patternFill patternType="solid">
        <fgColor indexed="62"/>
      </patternFill>
    </fill>
    <fill>
      <patternFill patternType="solid">
        <fgColor indexed="54"/>
      </patternFill>
    </fill>
    <fill>
      <patternFill patternType="solid">
        <fgColor indexed="56"/>
      </patternFill>
    </fill>
    <fill>
      <patternFill patternType="solid">
        <fgColor indexed="58"/>
      </patternFill>
    </fill>
    <fill>
      <patternFill patternType="solid">
        <fgColor indexed="58"/>
        <bgColor indexed="64"/>
      </patternFill>
    </fill>
    <fill>
      <patternFill patternType="solid">
        <fgColor indexed="18"/>
      </patternFill>
    </fill>
    <fill>
      <patternFill patternType="solid">
        <f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0"/>
        <bgColor indexed="64"/>
      </patternFill>
    </fill>
    <fill>
      <patternFill patternType="solid">
        <fgColor indexed="57"/>
        <bgColor indexed="64"/>
      </patternFill>
    </fill>
    <fill>
      <patternFill patternType="solid">
        <fgColor rgb="FF3399FF"/>
        <bgColor indexed="64"/>
      </patternFill>
    </fill>
    <fill>
      <patternFill patternType="solid">
        <fgColor rgb="FF002060"/>
        <bgColor indexed="64"/>
      </patternFill>
    </fill>
    <fill>
      <patternFill patternType="solid">
        <fgColor theme="0"/>
        <bgColor indexed="64"/>
      </patternFill>
    </fill>
    <fill>
      <patternFill patternType="solid">
        <fgColor theme="0" tint="-0.1499374370555742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hair">
        <color indexed="64"/>
      </right>
      <top style="double">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double">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right/>
      <top style="thin">
        <color indexed="64"/>
      </top>
      <bottom style="double">
        <color indexed="64"/>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right/>
      <top style="hair">
        <color indexed="20"/>
      </top>
      <bottom style="hair">
        <color indexed="20"/>
      </bottom>
      <diagonal/>
    </border>
    <border>
      <left/>
      <right style="thin">
        <color indexed="64"/>
      </right>
      <top/>
      <bottom/>
      <diagonal/>
    </border>
    <border>
      <left/>
      <right/>
      <top/>
      <bottom style="hair">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8"/>
      </top>
      <bottom/>
      <diagonal/>
    </border>
    <border>
      <left/>
      <right style="thin">
        <color indexed="64"/>
      </right>
      <top/>
      <bottom style="thin">
        <color indexed="64"/>
      </bottom>
      <diagonal/>
    </border>
    <border>
      <left/>
      <right/>
      <top style="medium">
        <color indexed="64"/>
      </top>
      <bottom/>
      <diagonal/>
    </border>
    <border>
      <left/>
      <right/>
      <top/>
      <bottom style="thin">
        <color indexed="8"/>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31"/>
      </left>
      <right style="thin">
        <color indexed="31"/>
      </right>
      <top style="thin">
        <color indexed="31"/>
      </top>
      <bottom style="thin">
        <color indexed="31"/>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49"/>
      </top>
      <bottom style="double">
        <color indexed="49"/>
      </bottom>
      <diagonal/>
    </border>
    <border>
      <left/>
      <right/>
      <top/>
      <bottom style="double">
        <color indexed="10"/>
      </bottom>
      <diagonal/>
    </border>
    <border>
      <left style="thin">
        <color indexed="64"/>
      </left>
      <right/>
      <top style="thin">
        <color indexed="64"/>
      </top>
      <bottom/>
      <diagonal/>
    </border>
    <border>
      <left style="thin">
        <color indexed="64"/>
      </left>
      <right/>
      <top/>
      <bottom style="thin">
        <color indexed="64"/>
      </bottom>
      <diagonal/>
    </border>
    <border>
      <left style="medium">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8"/>
      </left>
      <right/>
      <top style="thin">
        <color theme="8"/>
      </top>
      <bottom style="thin">
        <color theme="8"/>
      </bottom>
      <diagonal/>
    </border>
    <border>
      <left/>
      <right/>
      <top style="thin">
        <color theme="8"/>
      </top>
      <bottom style="thin">
        <color theme="8"/>
      </bottom>
      <diagonal/>
    </border>
    <border>
      <left style="thin">
        <color theme="8"/>
      </left>
      <right/>
      <top/>
      <bottom/>
      <diagonal/>
    </border>
    <border>
      <left style="thin">
        <color theme="8"/>
      </left>
      <right/>
      <top/>
      <bottom style="thin">
        <color theme="8"/>
      </bottom>
      <diagonal/>
    </border>
    <border>
      <left/>
      <right/>
      <top/>
      <bottom style="thin">
        <color theme="8"/>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490">
    <xf numFmtId="0" fontId="0" fillId="0" borderId="0">
      <alignment vertical="center"/>
    </xf>
    <xf numFmtId="43" fontId="3" fillId="0" borderId="0" applyFont="0" applyFill="0" applyBorder="0" applyAlignment="0" applyProtection="0">
      <alignment vertical="center"/>
    </xf>
    <xf numFmtId="9" fontId="3" fillId="0" borderId="0" applyFont="0" applyFill="0" applyBorder="0" applyAlignment="0" applyProtection="0">
      <alignment vertical="center"/>
    </xf>
    <xf numFmtId="0" fontId="4" fillId="0" borderId="0">
      <alignment vertical="center"/>
    </xf>
    <xf numFmtId="0" fontId="4" fillId="0" borderId="0"/>
    <xf numFmtId="43" fontId="4" fillId="0" borderId="0" applyFont="0" applyFill="0" applyBorder="0" applyAlignment="0" applyProtection="0"/>
    <xf numFmtId="0" fontId="15" fillId="0" borderId="0" applyNumberFormat="0" applyFill="0" applyBorder="0" applyAlignment="0" applyProtection="0">
      <alignment vertical="center"/>
    </xf>
    <xf numFmtId="43" fontId="16" fillId="0" borderId="0" applyFont="0" applyFill="0" applyBorder="0" applyAlignment="0" applyProtection="0">
      <alignment vertical="center"/>
    </xf>
    <xf numFmtId="0" fontId="4" fillId="0" borderId="0"/>
    <xf numFmtId="43" fontId="3" fillId="0" borderId="0" applyFont="0" applyFill="0" applyBorder="0" applyAlignment="0" applyProtection="0">
      <alignment vertical="center"/>
    </xf>
    <xf numFmtId="9" fontId="23" fillId="0" borderId="0" applyFont="0" applyFill="0" applyBorder="0" applyAlignment="0" applyProtection="0"/>
    <xf numFmtId="0" fontId="24" fillId="0" borderId="0">
      <alignment vertical="center"/>
    </xf>
    <xf numFmtId="9" fontId="16"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xf numFmtId="0" fontId="48" fillId="0" borderId="0">
      <alignment vertical="center"/>
    </xf>
    <xf numFmtId="0" fontId="49" fillId="0" borderId="0"/>
    <xf numFmtId="0" fontId="49" fillId="0" borderId="0"/>
    <xf numFmtId="0" fontId="28" fillId="0" borderId="0"/>
    <xf numFmtId="196" fontId="28" fillId="0" borderId="0" applyFont="0" applyFill="0" applyBorder="0" applyAlignment="0" applyProtection="0"/>
    <xf numFmtId="224" fontId="28" fillId="0" borderId="0" applyFont="0" applyFill="0" applyBorder="0" applyAlignment="0" applyProtection="0"/>
    <xf numFmtId="270" fontId="59" fillId="0" borderId="0" applyFont="0" applyFill="0" applyBorder="0" applyAlignment="0" applyProtection="0"/>
    <xf numFmtId="180" fontId="28" fillId="0" borderId="0" applyFont="0" applyFill="0" applyBorder="0" applyAlignment="0" applyProtection="0"/>
    <xf numFmtId="0" fontId="28" fillId="0" borderId="0"/>
    <xf numFmtId="37" fontId="28" fillId="0" borderId="2" applyFont="0" applyFill="0" applyBorder="0" applyAlignment="0" applyProtection="0"/>
    <xf numFmtId="223" fontId="9" fillId="0" borderId="0"/>
    <xf numFmtId="246" fontId="28" fillId="0" borderId="34"/>
    <xf numFmtId="223" fontId="9" fillId="0" borderId="0"/>
    <xf numFmtId="39" fontId="9" fillId="0" borderId="0" applyFont="0" applyFill="0" applyBorder="0" applyAlignment="0" applyProtection="0"/>
    <xf numFmtId="246" fontId="28" fillId="0" borderId="0" applyFont="0" applyFill="0" applyBorder="0" applyAlignment="0" applyProtection="0"/>
    <xf numFmtId="223" fontId="9" fillId="0" borderId="0" applyFont="0" applyFill="0" applyBorder="0" applyAlignment="0" applyProtection="0"/>
    <xf numFmtId="2" fontId="28" fillId="0" borderId="0" applyFont="0" applyFill="0" applyBorder="0" applyAlignment="0" applyProtection="0"/>
    <xf numFmtId="246" fontId="28" fillId="0" borderId="0" applyFont="0" applyFill="0" applyBorder="0" applyAlignment="0" applyProtection="0"/>
    <xf numFmtId="0" fontId="74" fillId="0" borderId="0" applyFont="0" applyFill="0" applyBorder="0" applyAlignment="0" applyProtection="0"/>
    <xf numFmtId="207" fontId="193" fillId="0" borderId="0" applyFont="0" applyFill="0" applyBorder="0" applyAlignment="0" applyProtection="0"/>
    <xf numFmtId="0" fontId="74" fillId="0" borderId="0" applyFont="0" applyFill="0" applyBorder="0" applyAlignment="0" applyProtection="0"/>
    <xf numFmtId="0" fontId="49" fillId="0" borderId="0"/>
    <xf numFmtId="40" fontId="193" fillId="0" borderId="0" applyFont="0" applyFill="0" applyBorder="0" applyAlignment="0" applyProtection="0"/>
    <xf numFmtId="40" fontId="200" fillId="0" borderId="0" applyFont="0" applyFill="0" applyBorder="0" applyAlignment="0" applyProtection="0"/>
    <xf numFmtId="38" fontId="200" fillId="0" borderId="0" applyFont="0" applyFill="0" applyBorder="0" applyAlignment="0" applyProtection="0"/>
    <xf numFmtId="38" fontId="193" fillId="0" borderId="0" applyFont="0" applyFill="0" applyBorder="0" applyAlignment="0" applyProtection="0"/>
    <xf numFmtId="0" fontId="49" fillId="0" borderId="0"/>
    <xf numFmtId="0" fontId="49" fillId="0" borderId="0"/>
    <xf numFmtId="0" fontId="49" fillId="0" borderId="0"/>
    <xf numFmtId="0" fontId="4" fillId="0" borderId="0"/>
    <xf numFmtId="49" fontId="9" fillId="0" borderId="0" applyProtection="0">
      <alignment horizontal="left"/>
    </xf>
    <xf numFmtId="49" fontId="9" fillId="0" borderId="0" applyProtection="0">
      <alignment horizontal="left"/>
    </xf>
    <xf numFmtId="0" fontId="192" fillId="0" borderId="0" applyNumberFormat="0" applyFill="0" applyBorder="0" applyAlignment="0" applyProtection="0"/>
    <xf numFmtId="0" fontId="49" fillId="0" borderId="0">
      <protection locked="0"/>
    </xf>
    <xf numFmtId="0" fontId="49" fillId="0" borderId="0" applyNumberFormat="0" applyFill="0" applyBorder="0" applyAlignment="0" applyProtection="0"/>
    <xf numFmtId="0" fontId="28" fillId="0" borderId="0"/>
    <xf numFmtId="0" fontId="4" fillId="0" borderId="0"/>
    <xf numFmtId="0" fontId="4" fillId="0" borderId="0"/>
    <xf numFmtId="0" fontId="4" fillId="0" borderId="0"/>
    <xf numFmtId="0" fontId="4" fillId="0" borderId="0"/>
    <xf numFmtId="0" fontId="4" fillId="0" borderId="0"/>
    <xf numFmtId="0" fontId="49" fillId="0" borderId="0"/>
    <xf numFmtId="0" fontId="50" fillId="0" borderId="0"/>
    <xf numFmtId="0" fontId="28" fillId="0" borderId="0"/>
    <xf numFmtId="0" fontId="150" fillId="0" borderId="0"/>
    <xf numFmtId="0" fontId="28" fillId="0" borderId="0"/>
    <xf numFmtId="0" fontId="28" fillId="0" borderId="0"/>
    <xf numFmtId="0" fontId="28" fillId="0" borderId="0"/>
    <xf numFmtId="0" fontId="104" fillId="0" borderId="0"/>
    <xf numFmtId="0" fontId="49" fillId="0" borderId="0">
      <protection locked="0"/>
    </xf>
    <xf numFmtId="0" fontId="28" fillId="0" borderId="0"/>
    <xf numFmtId="0" fontId="28" fillId="0" borderId="0"/>
    <xf numFmtId="223" fontId="49" fillId="0" borderId="0" applyFont="0" applyFill="0" applyBorder="0" applyAlignment="0" applyProtection="0"/>
    <xf numFmtId="0" fontId="28" fillId="0" borderId="0"/>
    <xf numFmtId="0" fontId="28" fillId="0" borderId="0"/>
    <xf numFmtId="0" fontId="28" fillId="0" borderId="0"/>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protection locked="0"/>
    </xf>
    <xf numFmtId="0" fontId="49" fillId="0" borderId="0">
      <protection locked="0"/>
    </xf>
    <xf numFmtId="0" fontId="49" fillId="0" borderId="0">
      <protection locked="0"/>
    </xf>
    <xf numFmtId="0" fontId="49" fillId="0" borderId="0"/>
    <xf numFmtId="0" fontId="49" fillId="0" borderId="0"/>
    <xf numFmtId="0" fontId="2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8" fillId="0" borderId="0"/>
    <xf numFmtId="0" fontId="28" fillId="0" borderId="0"/>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28" fillId="0" borderId="0"/>
    <xf numFmtId="0" fontId="49" fillId="0" borderId="0"/>
    <xf numFmtId="0" fontId="49" fillId="0" borderId="0">
      <protection locked="0"/>
    </xf>
    <xf numFmtId="0" fontId="49" fillId="0" borderId="0"/>
    <xf numFmtId="0" fontId="28" fillId="0" borderId="0"/>
    <xf numFmtId="0" fontId="28" fillId="0" borderId="0"/>
    <xf numFmtId="0" fontId="49" fillId="0" borderId="0"/>
    <xf numFmtId="0" fontId="5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0" fillId="0" borderId="0"/>
    <xf numFmtId="0" fontId="28" fillId="0" borderId="0"/>
    <xf numFmtId="0" fontId="28" fillId="0" borderId="0"/>
    <xf numFmtId="0" fontId="28" fillId="0" borderId="0"/>
    <xf numFmtId="0" fontId="49" fillId="0" borderId="0"/>
    <xf numFmtId="0" fontId="49" fillId="0" borderId="0"/>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50" fillId="0" borderId="0"/>
    <xf numFmtId="0" fontId="50" fillId="0" borderId="0">
      <protection locked="0"/>
    </xf>
    <xf numFmtId="0" fontId="50" fillId="0" borderId="0"/>
    <xf numFmtId="0" fontId="50" fillId="0" borderId="0"/>
    <xf numFmtId="0" fontId="49" fillId="0" borderId="0">
      <protection locked="0"/>
    </xf>
    <xf numFmtId="0" fontId="50" fillId="0" borderId="0"/>
    <xf numFmtId="0" fontId="82" fillId="0" borderId="0">
      <alignment vertical="top"/>
      <protection locked="0"/>
    </xf>
    <xf numFmtId="0" fontId="50" fillId="0" borderId="0"/>
    <xf numFmtId="0" fontId="49" fillId="0" borderId="0"/>
    <xf numFmtId="0" fontId="50" fillId="0" borderId="0"/>
    <xf numFmtId="0" fontId="49" fillId="0" borderId="0"/>
    <xf numFmtId="0" fontId="50" fillId="0" borderId="0"/>
    <xf numFmtId="0" fontId="50" fillId="0" borderId="0"/>
    <xf numFmtId="0" fontId="4" fillId="0" borderId="0"/>
    <xf numFmtId="0" fontId="4" fillId="0" borderId="0"/>
    <xf numFmtId="0" fontId="4" fillId="0" borderId="0"/>
    <xf numFmtId="0" fontId="49" fillId="0" borderId="0"/>
    <xf numFmtId="0"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9" fillId="0" borderId="0"/>
    <xf numFmtId="0" fontId="28" fillId="0" borderId="0"/>
    <xf numFmtId="0" fontId="49"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12" fontId="9" fillId="0" borderId="0" applyFill="0" applyBorder="0" applyProtection="0">
      <alignment horizontal="right"/>
    </xf>
    <xf numFmtId="213" fontId="9" fillId="0" borderId="0" applyFill="0" applyBorder="0" applyProtection="0">
      <alignment horizontal="right"/>
    </xf>
    <xf numFmtId="214" fontId="78" fillId="0" borderId="0" applyFill="0" applyBorder="0" applyProtection="0">
      <alignment horizontal="center"/>
    </xf>
    <xf numFmtId="215" fontId="78" fillId="0" borderId="0" applyFill="0" applyBorder="0" applyProtection="0">
      <alignment horizontal="center"/>
    </xf>
    <xf numFmtId="216" fontId="79" fillId="0" borderId="0" applyFill="0" applyBorder="0" applyProtection="0">
      <alignment horizontal="right"/>
    </xf>
    <xf numFmtId="217" fontId="9" fillId="0" borderId="0" applyFill="0" applyBorder="0" applyProtection="0">
      <alignment horizontal="right"/>
    </xf>
    <xf numFmtId="218" fontId="9" fillId="0" borderId="0" applyFill="0" applyBorder="0" applyProtection="0">
      <alignment horizontal="right"/>
    </xf>
    <xf numFmtId="234" fontId="9" fillId="0" borderId="0" applyFill="0" applyBorder="0" applyProtection="0">
      <alignment horizontal="right"/>
    </xf>
    <xf numFmtId="235" fontId="9" fillId="0" borderId="0" applyFill="0" applyBorder="0" applyProtection="0">
      <alignment horizontal="right"/>
    </xf>
    <xf numFmtId="207" fontId="200" fillId="0" borderId="0" applyFont="0" applyFill="0" applyBorder="0" applyAlignment="0" applyProtection="0"/>
    <xf numFmtId="208" fontId="200" fillId="0" borderId="0" applyFont="0" applyFill="0" applyBorder="0" applyAlignment="0" applyProtection="0"/>
    <xf numFmtId="247" fontId="49" fillId="0" borderId="0" applyFont="0" applyFill="0" applyBorder="0" applyAlignment="0" applyProtection="0"/>
    <xf numFmtId="248" fontId="49" fillId="0" borderId="0" applyFont="0" applyFill="0" applyBorder="0" applyAlignment="0" applyProtection="0"/>
    <xf numFmtId="3" fontId="9"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0" fontId="28" fillId="0" borderId="0"/>
    <xf numFmtId="0" fontId="4" fillId="0" borderId="0"/>
    <xf numFmtId="0" fontId="4" fillId="0" borderId="0" applyBorder="0"/>
    <xf numFmtId="0" fontId="4" fillId="0" borderId="0"/>
    <xf numFmtId="0" fontId="4" fillId="0" borderId="0"/>
    <xf numFmtId="180" fontId="80" fillId="0" borderId="0" applyFont="0" applyFill="0" applyBorder="0" applyAlignment="0" applyProtection="0"/>
    <xf numFmtId="10" fontId="80"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0" fontId="9" fillId="0" borderId="0" applyNumberFormat="0" applyFill="0" applyBorder="0" applyAlignment="0" applyProtection="0">
      <alignment horizontal="left"/>
    </xf>
    <xf numFmtId="223" fontId="28" fillId="0" borderId="0" applyNumberFormat="0" applyFill="0" applyBorder="0" applyAlignment="0" applyProtection="0"/>
    <xf numFmtId="0" fontId="127" fillId="0" borderId="0" applyNumberFormat="0" applyFill="0" applyBorder="0" applyAlignment="0" applyProtection="0"/>
    <xf numFmtId="0" fontId="119" fillId="0" borderId="0" applyNumberFormat="0" applyFill="0" applyBorder="0" applyAlignment="0" applyProtection="0">
      <alignment horizontal="centerContinuous"/>
    </xf>
    <xf numFmtId="0" fontId="151" fillId="10" borderId="0" applyNumberFormat="0" applyBorder="0" applyAlignment="0" applyProtection="0"/>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51" fillId="12" borderId="0" applyNumberFormat="0" applyBorder="0" applyAlignment="0" applyProtection="0"/>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51" fillId="14" borderId="0" applyNumberFormat="0" applyBorder="0" applyAlignment="0" applyProtection="0"/>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51" fillId="16" borderId="0" applyNumberFormat="0" applyBorder="0" applyAlignment="0" applyProtection="0"/>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51" fillId="17" borderId="0" applyNumberFormat="0" applyBorder="0" applyAlignment="0" applyProtection="0"/>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1" fillId="19" borderId="0" applyNumberFormat="0" applyBorder="0" applyAlignment="0" applyProtection="0"/>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17" fillId="10" borderId="0" applyNumberFormat="0" applyBorder="0" applyAlignment="0" applyProtection="0"/>
    <xf numFmtId="0" fontId="117" fillId="12" borderId="0" applyNumberFormat="0" applyBorder="0" applyAlignment="0" applyProtection="0"/>
    <xf numFmtId="0" fontId="117" fillId="14" borderId="0" applyNumberFormat="0" applyBorder="0" applyAlignment="0" applyProtection="0"/>
    <xf numFmtId="0" fontId="117" fillId="16" borderId="0" applyNumberFormat="0" applyBorder="0" applyAlignment="0" applyProtection="0"/>
    <xf numFmtId="0" fontId="117" fillId="17" borderId="0" applyNumberFormat="0" applyBorder="0" applyAlignment="0" applyProtection="0"/>
    <xf numFmtId="0" fontId="117" fillId="19" borderId="0" applyNumberFormat="0" applyBorder="0" applyAlignment="0" applyProtection="0"/>
    <xf numFmtId="0" fontId="16" fillId="10"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20" borderId="0" applyNumberFormat="0" applyBorder="0" applyAlignment="0" applyProtection="0">
      <alignment vertical="center"/>
    </xf>
    <xf numFmtId="0" fontId="16" fillId="12"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21" borderId="0" applyNumberFormat="0" applyBorder="0" applyAlignment="0" applyProtection="0">
      <alignment vertical="center"/>
    </xf>
    <xf numFmtId="0" fontId="16" fillId="14"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22" borderId="0" applyNumberFormat="0" applyBorder="0" applyAlignment="0" applyProtection="0">
      <alignment vertical="center"/>
    </xf>
    <xf numFmtId="0" fontId="16" fillId="16"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22" borderId="0" applyNumberFormat="0" applyBorder="0" applyAlignment="0" applyProtection="0">
      <alignment vertical="center"/>
    </xf>
    <xf numFmtId="0" fontId="9" fillId="0" borderId="0" applyNumberFormat="0" applyFill="0" applyBorder="0" applyAlignment="0" applyProtection="0"/>
    <xf numFmtId="0" fontId="4" fillId="0" borderId="0" applyBorder="0"/>
    <xf numFmtId="0" fontId="151" fillId="20" borderId="0" applyNumberFormat="0" applyBorder="0" applyAlignment="0" applyProtection="0"/>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51" fillId="21" borderId="0" applyNumberFormat="0" applyBorder="0" applyAlignment="0" applyProtection="0"/>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51" fillId="24" borderId="0" applyNumberFormat="0" applyBorder="0" applyAlignment="0" applyProtection="0"/>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51" fillId="16" borderId="0" applyNumberFormat="0" applyBorder="0" applyAlignment="0" applyProtection="0"/>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51" fillId="20" borderId="0" applyNumberFormat="0" applyBorder="0" applyAlignment="0" applyProtection="0"/>
    <xf numFmtId="0" fontId="16" fillId="26" borderId="0" applyNumberFormat="0" applyBorder="0" applyAlignment="0" applyProtection="0">
      <alignment vertical="center"/>
    </xf>
    <xf numFmtId="0" fontId="16" fillId="26" borderId="0" applyNumberFormat="0" applyBorder="0" applyAlignment="0" applyProtection="0">
      <alignment vertical="center"/>
    </xf>
    <xf numFmtId="0" fontId="151" fillId="27" borderId="0" applyNumberFormat="0" applyBorder="0" applyAlignment="0" applyProtection="0"/>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17" fillId="20" borderId="0" applyNumberFormat="0" applyBorder="0" applyAlignment="0" applyProtection="0"/>
    <xf numFmtId="0" fontId="117" fillId="21" borderId="0" applyNumberFormat="0" applyBorder="0" applyAlignment="0" applyProtection="0"/>
    <xf numFmtId="0" fontId="117" fillId="24" borderId="0" applyNumberFormat="0" applyBorder="0" applyAlignment="0" applyProtection="0"/>
    <xf numFmtId="0" fontId="117" fillId="16" borderId="0" applyNumberFormat="0" applyBorder="0" applyAlignment="0" applyProtection="0"/>
    <xf numFmtId="0" fontId="117" fillId="20" borderId="0" applyNumberFormat="0" applyBorder="0" applyAlignment="0" applyProtection="0"/>
    <xf numFmtId="0" fontId="117" fillId="27" borderId="0" applyNumberFormat="0" applyBorder="0" applyAlignment="0" applyProtection="0"/>
    <xf numFmtId="0" fontId="16" fillId="20"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17" borderId="0" applyNumberFormat="0" applyBorder="0" applyAlignment="0" applyProtection="0">
      <alignment vertical="center"/>
    </xf>
    <xf numFmtId="0" fontId="16" fillId="21" borderId="0" applyNumberFormat="0" applyBorder="0" applyAlignment="0" applyProtection="0">
      <alignment vertical="center"/>
    </xf>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4" borderId="0" applyNumberFormat="0" applyBorder="0" applyAlignment="0" applyProtection="0">
      <alignment vertical="center"/>
    </xf>
    <xf numFmtId="0" fontId="35" fillId="25" borderId="0" applyNumberFormat="0" applyBorder="0" applyAlignment="0" applyProtection="0">
      <alignment vertical="center"/>
    </xf>
    <xf numFmtId="0" fontId="35" fillId="25"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8" borderId="0" applyNumberFormat="0" applyBorder="0" applyAlignment="0" applyProtection="0">
      <alignment vertical="center"/>
    </xf>
    <xf numFmtId="0" fontId="16" fillId="16"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2" borderId="0" applyNumberFormat="0" applyBorder="0" applyAlignment="0" applyProtection="0">
      <alignment vertical="center"/>
    </xf>
    <xf numFmtId="0" fontId="16" fillId="20" borderId="0" applyNumberFormat="0" applyBorder="0" applyAlignment="0" applyProtection="0">
      <alignment vertical="center"/>
    </xf>
    <xf numFmtId="0" fontId="35" fillId="26" borderId="0" applyNumberFormat="0" applyBorder="0" applyAlignment="0" applyProtection="0">
      <alignment vertical="center"/>
    </xf>
    <xf numFmtId="0" fontId="35" fillId="26"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17" borderId="0" applyNumberFormat="0" applyBorder="0" applyAlignment="0" applyProtection="0">
      <alignment vertical="center"/>
    </xf>
    <xf numFmtId="0" fontId="16" fillId="27"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2" borderId="0" applyNumberFormat="0" applyBorder="0" applyAlignment="0" applyProtection="0">
      <alignment vertical="center"/>
    </xf>
    <xf numFmtId="0" fontId="152" fillId="29" borderId="0" applyNumberFormat="0" applyBorder="0" applyAlignment="0" applyProtection="0"/>
    <xf numFmtId="0" fontId="188" fillId="30" borderId="0" applyNumberFormat="0" applyBorder="0" applyAlignment="0" applyProtection="0">
      <alignment vertical="center"/>
    </xf>
    <xf numFmtId="0" fontId="188" fillId="30" borderId="0" applyNumberFormat="0" applyBorder="0" applyAlignment="0" applyProtection="0">
      <alignment vertical="center"/>
    </xf>
    <xf numFmtId="0" fontId="152" fillId="21" borderId="0" applyNumberFormat="0" applyBorder="0" applyAlignment="0" applyProtection="0"/>
    <xf numFmtId="0" fontId="188" fillId="23" borderId="0" applyNumberFormat="0" applyBorder="0" applyAlignment="0" applyProtection="0">
      <alignment vertical="center"/>
    </xf>
    <xf numFmtId="0" fontId="188" fillId="23" borderId="0" applyNumberFormat="0" applyBorder="0" applyAlignment="0" applyProtection="0">
      <alignment vertical="center"/>
    </xf>
    <xf numFmtId="0" fontId="152" fillId="24" borderId="0" applyNumberFormat="0" applyBorder="0" applyAlignment="0" applyProtection="0"/>
    <xf numFmtId="0" fontId="188" fillId="25" borderId="0" applyNumberFormat="0" applyBorder="0" applyAlignment="0" applyProtection="0">
      <alignment vertical="center"/>
    </xf>
    <xf numFmtId="0" fontId="188" fillId="25" borderId="0" applyNumberFormat="0" applyBorder="0" applyAlignment="0" applyProtection="0">
      <alignment vertical="center"/>
    </xf>
    <xf numFmtId="0" fontId="152" fillId="31" borderId="0" applyNumberFormat="0" applyBorder="0" applyAlignment="0" applyProtection="0"/>
    <xf numFmtId="0" fontId="188" fillId="9" borderId="0" applyNumberFormat="0" applyBorder="0" applyAlignment="0" applyProtection="0">
      <alignment vertical="center"/>
    </xf>
    <xf numFmtId="0" fontId="188" fillId="9" borderId="0" applyNumberFormat="0" applyBorder="0" applyAlignment="0" applyProtection="0">
      <alignment vertical="center"/>
    </xf>
    <xf numFmtId="0" fontId="152" fillId="32" borderId="0" applyNumberFormat="0" applyBorder="0" applyAlignment="0" applyProtection="0"/>
    <xf numFmtId="0" fontId="188" fillId="30" borderId="0" applyNumberFormat="0" applyBorder="0" applyAlignment="0" applyProtection="0">
      <alignment vertical="center"/>
    </xf>
    <xf numFmtId="0" fontId="188" fillId="30" borderId="0" applyNumberFormat="0" applyBorder="0" applyAlignment="0" applyProtection="0">
      <alignment vertical="center"/>
    </xf>
    <xf numFmtId="0" fontId="152" fillId="33" borderId="0" applyNumberFormat="0" applyBorder="0" applyAlignment="0" applyProtection="0"/>
    <xf numFmtId="0" fontId="188" fillId="13" borderId="0" applyNumberFormat="0" applyBorder="0" applyAlignment="0" applyProtection="0">
      <alignment vertical="center"/>
    </xf>
    <xf numFmtId="0" fontId="188" fillId="13" borderId="0" applyNumberFormat="0" applyBorder="0" applyAlignment="0" applyProtection="0">
      <alignment vertical="center"/>
    </xf>
    <xf numFmtId="0" fontId="153" fillId="29" borderId="0" applyNumberFormat="0" applyBorder="0" applyAlignment="0" applyProtection="0"/>
    <xf numFmtId="0" fontId="153" fillId="21" borderId="0" applyNumberFormat="0" applyBorder="0" applyAlignment="0" applyProtection="0"/>
    <xf numFmtId="0" fontId="153" fillId="24" borderId="0" applyNumberFormat="0" applyBorder="0" applyAlignment="0" applyProtection="0"/>
    <xf numFmtId="0" fontId="153" fillId="31" borderId="0" applyNumberFormat="0" applyBorder="0" applyAlignment="0" applyProtection="0"/>
    <xf numFmtId="0" fontId="153" fillId="32" borderId="0" applyNumberFormat="0" applyBorder="0" applyAlignment="0" applyProtection="0"/>
    <xf numFmtId="0" fontId="153" fillId="33" borderId="0" applyNumberFormat="0" applyBorder="0" applyAlignment="0" applyProtection="0"/>
    <xf numFmtId="0" fontId="81" fillId="29" borderId="0" applyNumberFormat="0" applyBorder="0" applyAlignment="0" applyProtection="0">
      <alignment vertical="center"/>
    </xf>
    <xf numFmtId="0" fontId="186" fillId="30" borderId="0" applyNumberFormat="0" applyBorder="0" applyAlignment="0" applyProtection="0">
      <alignment vertical="center"/>
    </xf>
    <xf numFmtId="0" fontId="186" fillId="30" borderId="0" applyNumberFormat="0" applyBorder="0" applyAlignment="0" applyProtection="0">
      <alignment vertical="center"/>
    </xf>
    <xf numFmtId="0" fontId="81" fillId="29" borderId="0" applyNumberFormat="0" applyBorder="0" applyAlignment="0" applyProtection="0">
      <alignment vertical="center"/>
    </xf>
    <xf numFmtId="0" fontId="81" fillId="29" borderId="0" applyNumberFormat="0" applyBorder="0" applyAlignment="0" applyProtection="0">
      <alignment vertical="center"/>
    </xf>
    <xf numFmtId="0" fontId="81" fillId="29" borderId="0" applyNumberFormat="0" applyBorder="0" applyAlignment="0" applyProtection="0">
      <alignment vertical="center"/>
    </xf>
    <xf numFmtId="0" fontId="81" fillId="29" borderId="0" applyNumberFormat="0" applyBorder="0" applyAlignment="0" applyProtection="0">
      <alignment vertical="center"/>
    </xf>
    <xf numFmtId="0" fontId="81" fillId="17" borderId="0" applyNumberFormat="0" applyBorder="0" applyAlignment="0" applyProtection="0">
      <alignment vertical="center"/>
    </xf>
    <xf numFmtId="0" fontId="81" fillId="21" borderId="0" applyNumberFormat="0" applyBorder="0" applyAlignment="0" applyProtection="0">
      <alignment vertical="center"/>
    </xf>
    <xf numFmtId="0" fontId="186" fillId="23" borderId="0" applyNumberFormat="0" applyBorder="0" applyAlignment="0" applyProtection="0">
      <alignment vertical="center"/>
    </xf>
    <xf numFmtId="0" fontId="186" fillId="23" borderId="0" applyNumberFormat="0" applyBorder="0" applyAlignment="0" applyProtection="0">
      <alignment vertical="center"/>
    </xf>
    <xf numFmtId="0" fontId="81" fillId="21" borderId="0" applyNumberFormat="0" applyBorder="0" applyAlignment="0" applyProtection="0">
      <alignment vertical="center"/>
    </xf>
    <xf numFmtId="0" fontId="81" fillId="21" borderId="0" applyNumberFormat="0" applyBorder="0" applyAlignment="0" applyProtection="0">
      <alignment vertical="center"/>
    </xf>
    <xf numFmtId="0" fontId="81" fillId="21" borderId="0" applyNumberFormat="0" applyBorder="0" applyAlignment="0" applyProtection="0">
      <alignment vertical="center"/>
    </xf>
    <xf numFmtId="0" fontId="81" fillId="21" borderId="0" applyNumberFormat="0" applyBorder="0" applyAlignment="0" applyProtection="0">
      <alignment vertical="center"/>
    </xf>
    <xf numFmtId="0" fontId="81" fillId="34" borderId="0" applyNumberFormat="0" applyBorder="0" applyAlignment="0" applyProtection="0">
      <alignment vertical="center"/>
    </xf>
    <xf numFmtId="0" fontId="81" fillId="24" borderId="0" applyNumberFormat="0" applyBorder="0" applyAlignment="0" applyProtection="0">
      <alignment vertical="center"/>
    </xf>
    <xf numFmtId="0" fontId="186" fillId="25" borderId="0" applyNumberFormat="0" applyBorder="0" applyAlignment="0" applyProtection="0">
      <alignment vertical="center"/>
    </xf>
    <xf numFmtId="0" fontId="186" fillId="25" borderId="0" applyNumberFormat="0" applyBorder="0" applyAlignment="0" applyProtection="0">
      <alignment vertical="center"/>
    </xf>
    <xf numFmtId="0" fontId="81" fillId="24" borderId="0" applyNumberFormat="0" applyBorder="0" applyAlignment="0" applyProtection="0">
      <alignment vertical="center"/>
    </xf>
    <xf numFmtId="0" fontId="81" fillId="24" borderId="0" applyNumberFormat="0" applyBorder="0" applyAlignment="0" applyProtection="0">
      <alignment vertical="center"/>
    </xf>
    <xf numFmtId="0" fontId="81" fillId="24" borderId="0" applyNumberFormat="0" applyBorder="0" applyAlignment="0" applyProtection="0">
      <alignment vertical="center"/>
    </xf>
    <xf numFmtId="0" fontId="81" fillId="24" borderId="0" applyNumberFormat="0" applyBorder="0" applyAlignment="0" applyProtection="0">
      <alignment vertical="center"/>
    </xf>
    <xf numFmtId="0" fontId="81" fillId="27" borderId="0" applyNumberFormat="0" applyBorder="0" applyAlignment="0" applyProtection="0">
      <alignment vertical="center"/>
    </xf>
    <xf numFmtId="0" fontId="81" fillId="31" borderId="0" applyNumberFormat="0" applyBorder="0" applyAlignment="0" applyProtection="0">
      <alignment vertical="center"/>
    </xf>
    <xf numFmtId="0" fontId="186" fillId="9" borderId="0" applyNumberFormat="0" applyBorder="0" applyAlignment="0" applyProtection="0">
      <alignment vertical="center"/>
    </xf>
    <xf numFmtId="0" fontId="186" fillId="9" borderId="0" applyNumberFormat="0" applyBorder="0" applyAlignment="0" applyProtection="0">
      <alignment vertical="center"/>
    </xf>
    <xf numFmtId="0" fontId="81" fillId="31" borderId="0" applyNumberFormat="0" applyBorder="0" applyAlignment="0" applyProtection="0">
      <alignment vertical="center"/>
    </xf>
    <xf numFmtId="0" fontId="81" fillId="31" borderId="0" applyNumberFormat="0" applyBorder="0" applyAlignment="0" applyProtection="0">
      <alignment vertical="center"/>
    </xf>
    <xf numFmtId="0" fontId="81" fillId="31" borderId="0" applyNumberFormat="0" applyBorder="0" applyAlignment="0" applyProtection="0">
      <alignment vertical="center"/>
    </xf>
    <xf numFmtId="0" fontId="81" fillId="31" borderId="0" applyNumberFormat="0" applyBorder="0" applyAlignment="0" applyProtection="0">
      <alignment vertical="center"/>
    </xf>
    <xf numFmtId="0" fontId="81" fillId="12" borderId="0" applyNumberFormat="0" applyBorder="0" applyAlignment="0" applyProtection="0">
      <alignment vertical="center"/>
    </xf>
    <xf numFmtId="0" fontId="81" fillId="32" borderId="0" applyNumberFormat="0" applyBorder="0" applyAlignment="0" applyProtection="0">
      <alignment vertical="center"/>
    </xf>
    <xf numFmtId="0" fontId="186" fillId="30" borderId="0" applyNumberFormat="0" applyBorder="0" applyAlignment="0" applyProtection="0">
      <alignment vertical="center"/>
    </xf>
    <xf numFmtId="0" fontId="186" fillId="30" borderId="0" applyNumberFormat="0" applyBorder="0" applyAlignment="0" applyProtection="0">
      <alignment vertical="center"/>
    </xf>
    <xf numFmtId="0" fontId="81" fillId="32" borderId="0" applyNumberFormat="0" applyBorder="0" applyAlignment="0" applyProtection="0">
      <alignment vertical="center"/>
    </xf>
    <xf numFmtId="0" fontId="81" fillId="32" borderId="0" applyNumberFormat="0" applyBorder="0" applyAlignment="0" applyProtection="0">
      <alignment vertical="center"/>
    </xf>
    <xf numFmtId="0" fontId="81" fillId="32" borderId="0" applyNumberFormat="0" applyBorder="0" applyAlignment="0" applyProtection="0">
      <alignment vertical="center"/>
    </xf>
    <xf numFmtId="0" fontId="81" fillId="32" borderId="0" applyNumberFormat="0" applyBorder="0" applyAlignment="0" applyProtection="0">
      <alignment vertical="center"/>
    </xf>
    <xf numFmtId="0" fontId="81" fillId="17" borderId="0" applyNumberFormat="0" applyBorder="0" applyAlignment="0" applyProtection="0">
      <alignment vertical="center"/>
    </xf>
    <xf numFmtId="0" fontId="81" fillId="33" borderId="0" applyNumberFormat="0" applyBorder="0" applyAlignment="0" applyProtection="0">
      <alignment vertical="center"/>
    </xf>
    <xf numFmtId="0" fontId="186" fillId="13" borderId="0" applyNumberFormat="0" applyBorder="0" applyAlignment="0" applyProtection="0">
      <alignment vertical="center"/>
    </xf>
    <xf numFmtId="0" fontId="186" fillId="13" borderId="0" applyNumberFormat="0" applyBorder="0" applyAlignment="0" applyProtection="0">
      <alignment vertical="center"/>
    </xf>
    <xf numFmtId="0" fontId="81" fillId="33" borderId="0" applyNumberFormat="0" applyBorder="0" applyAlignment="0" applyProtection="0">
      <alignment vertical="center"/>
    </xf>
    <xf numFmtId="0" fontId="81" fillId="33" borderId="0" applyNumberFormat="0" applyBorder="0" applyAlignment="0" applyProtection="0">
      <alignment vertical="center"/>
    </xf>
    <xf numFmtId="0" fontId="81" fillId="33" borderId="0" applyNumberFormat="0" applyBorder="0" applyAlignment="0" applyProtection="0">
      <alignment vertical="center"/>
    </xf>
    <xf numFmtId="0" fontId="81" fillId="33" borderId="0" applyNumberFormat="0" applyBorder="0" applyAlignment="0" applyProtection="0">
      <alignment vertical="center"/>
    </xf>
    <xf numFmtId="0" fontId="81" fillId="21" borderId="0" applyNumberFormat="0" applyBorder="0" applyAlignment="0" applyProtection="0">
      <alignment vertical="center"/>
    </xf>
    <xf numFmtId="0" fontId="50" fillId="0" borderId="0">
      <protection locked="0"/>
    </xf>
    <xf numFmtId="0" fontId="38" fillId="0" borderId="0" applyNumberFormat="0" applyFill="0" applyBorder="0" applyAlignment="0" applyProtection="0">
      <alignment horizontal="left"/>
    </xf>
    <xf numFmtId="0" fontId="51" fillId="35"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40" borderId="0" applyNumberFormat="0" applyBorder="0" applyAlignment="0" applyProtection="0"/>
    <xf numFmtId="0" fontId="52" fillId="41" borderId="0" applyNumberFormat="0" applyBorder="0" applyAlignment="0" applyProtection="0"/>
    <xf numFmtId="0" fontId="52" fillId="41" borderId="0" applyNumberFormat="0" applyBorder="0" applyAlignment="0" applyProtection="0"/>
    <xf numFmtId="0" fontId="52" fillId="41" borderId="0" applyNumberFormat="0" applyBorder="0" applyAlignment="0" applyProtection="0"/>
    <xf numFmtId="0" fontId="52" fillId="15" borderId="0" applyNumberFormat="0" applyBorder="0" applyAlignment="0" applyProtection="0"/>
    <xf numFmtId="0" fontId="52" fillId="15"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8" borderId="0" applyNumberFormat="0" applyBorder="0" applyAlignment="0" applyProtection="0"/>
    <xf numFmtId="0" fontId="51" fillId="8"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0" borderId="0" applyNumberFormat="0" applyBorder="0" applyAlignment="0" applyProtection="0"/>
    <xf numFmtId="0" fontId="51" fillId="40"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3" borderId="0" applyNumberFormat="0" applyBorder="0" applyAlignment="0" applyProtection="0"/>
    <xf numFmtId="0" fontId="52" fillId="41" borderId="0" applyNumberFormat="0" applyBorder="0" applyAlignment="0" applyProtection="0"/>
    <xf numFmtId="0" fontId="52" fillId="41" borderId="0" applyNumberFormat="0" applyBorder="0" applyAlignment="0" applyProtection="0"/>
    <xf numFmtId="0" fontId="52" fillId="41" borderId="0" applyNumberFormat="0" applyBorder="0" applyAlignment="0" applyProtection="0"/>
    <xf numFmtId="0" fontId="52" fillId="15" borderId="0" applyNumberFormat="0" applyBorder="0" applyAlignment="0" applyProtection="0"/>
    <xf numFmtId="0" fontId="52" fillId="15" borderId="0" applyNumberFormat="0" applyBorder="0" applyAlignment="0" applyProtection="0"/>
    <xf numFmtId="0" fontId="52" fillId="45" borderId="0" applyNumberFormat="0" applyBorder="0" applyAlignment="0" applyProtection="0"/>
    <xf numFmtId="0" fontId="52" fillId="45" borderId="0" applyNumberFormat="0" applyBorder="0" applyAlignment="0" applyProtection="0"/>
    <xf numFmtId="0" fontId="52" fillId="45" borderId="0" applyNumberFormat="0" applyBorder="0" applyAlignment="0" applyProtection="0"/>
    <xf numFmtId="0" fontId="52" fillId="46" borderId="0" applyNumberFormat="0" applyBorder="0" applyAlignment="0" applyProtection="0"/>
    <xf numFmtId="0" fontId="52" fillId="46"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8" borderId="0" applyNumberFormat="0" applyBorder="0" applyAlignment="0" applyProtection="0"/>
    <xf numFmtId="0" fontId="51" fillId="8" borderId="0" applyNumberFormat="0" applyBorder="0" applyAlignment="0" applyProtection="0"/>
    <xf numFmtId="0" fontId="51" fillId="8" borderId="0" applyNumberFormat="0" applyBorder="0" applyAlignment="0" applyProtection="0"/>
    <xf numFmtId="0" fontId="51" fillId="8"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8" borderId="0" applyNumberFormat="0" applyBorder="0" applyAlignment="0" applyProtection="0"/>
    <xf numFmtId="0" fontId="51" fillId="8" borderId="0" applyNumberFormat="0" applyBorder="0" applyAlignment="0" applyProtection="0"/>
    <xf numFmtId="0" fontId="51" fillId="8" borderId="0" applyNumberFormat="0" applyBorder="0" applyAlignment="0" applyProtection="0"/>
    <xf numFmtId="0" fontId="51" fillId="8" borderId="0" applyNumberFormat="0" applyBorder="0" applyAlignment="0" applyProtection="0"/>
    <xf numFmtId="0" fontId="51" fillId="8" borderId="0" applyNumberFormat="0" applyBorder="0" applyAlignment="0" applyProtection="0"/>
    <xf numFmtId="0" fontId="51" fillId="8" borderId="0" applyNumberFormat="0" applyBorder="0" applyAlignment="0" applyProtection="0"/>
    <xf numFmtId="0" fontId="51" fillId="8" borderId="0" applyNumberFormat="0" applyBorder="0" applyAlignment="0" applyProtection="0"/>
    <xf numFmtId="0" fontId="51" fillId="35"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47" borderId="0" applyNumberFormat="0" applyBorder="0" applyAlignment="0" applyProtection="0"/>
    <xf numFmtId="0" fontId="52" fillId="48" borderId="0" applyNumberFormat="0" applyBorder="0" applyAlignment="0" applyProtection="0"/>
    <xf numFmtId="0" fontId="52" fillId="48" borderId="0" applyNumberFormat="0" applyBorder="0" applyAlignment="0" applyProtection="0"/>
    <xf numFmtId="0" fontId="52" fillId="4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49" borderId="0" applyNumberFormat="0" applyBorder="0" applyAlignment="0" applyProtection="0"/>
    <xf numFmtId="0" fontId="52" fillId="41" borderId="0" applyNumberFormat="0" applyBorder="0" applyAlignment="0" applyProtection="0"/>
    <xf numFmtId="0" fontId="52" fillId="41" borderId="0" applyNumberFormat="0" applyBorder="0" applyAlignment="0" applyProtection="0"/>
    <xf numFmtId="0" fontId="52" fillId="41" borderId="0" applyNumberFormat="0" applyBorder="0" applyAlignment="0" applyProtection="0"/>
    <xf numFmtId="0" fontId="52" fillId="15" borderId="0" applyNumberFormat="0" applyBorder="0" applyAlignment="0" applyProtection="0"/>
    <xf numFmtId="0" fontId="52" fillId="15" borderId="0" applyNumberFormat="0" applyBorder="0" applyAlignment="0" applyProtection="0"/>
    <xf numFmtId="0" fontId="52" fillId="50" borderId="0" applyNumberFormat="0" applyBorder="0" applyAlignment="0" applyProtection="0"/>
    <xf numFmtId="0" fontId="52" fillId="50" borderId="0" applyNumberFormat="0" applyBorder="0" applyAlignment="0" applyProtection="0"/>
    <xf numFmtId="0" fontId="52" fillId="50"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1" fillId="50" borderId="0" applyNumberFormat="0" applyBorder="0" applyAlignment="0" applyProtection="0"/>
    <xf numFmtId="0" fontId="51" fillId="50" borderId="0" applyNumberFormat="0" applyBorder="0" applyAlignment="0" applyProtection="0"/>
    <xf numFmtId="0" fontId="51" fillId="50"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3" fillId="0" borderId="0">
      <alignment horizontal="center" wrapText="1"/>
      <protection locked="0"/>
    </xf>
    <xf numFmtId="37" fontId="49" fillId="0" borderId="0"/>
    <xf numFmtId="0" fontId="49" fillId="0" borderId="0"/>
    <xf numFmtId="0" fontId="49" fillId="0" borderId="0"/>
    <xf numFmtId="0" fontId="150" fillId="0" borderId="0"/>
    <xf numFmtId="0" fontId="128" fillId="0" borderId="0" applyNumberFormat="0" applyFill="0" applyBorder="0" applyAlignment="0" applyProtection="0"/>
    <xf numFmtId="0" fontId="154" fillId="12" borderId="0" applyNumberFormat="0" applyBorder="0" applyAlignment="0" applyProtection="0"/>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117" fillId="0" borderId="0" applyNumberFormat="0" applyBorder="0" applyAlignment="0"/>
    <xf numFmtId="3" fontId="54" fillId="0" borderId="0"/>
    <xf numFmtId="37" fontId="129" fillId="0" borderId="0" applyNumberFormat="0" applyFill="0" applyBorder="0" applyAlignment="0">
      <protection locked="0"/>
    </xf>
    <xf numFmtId="278" fontId="206" fillId="0" borderId="0" applyNumberFormat="0" applyFill="0" applyBorder="0" applyAlignment="0"/>
    <xf numFmtId="0" fontId="25" fillId="0" borderId="2" applyNumberFormat="0" applyFill="0" applyAlignment="0" applyProtection="0"/>
    <xf numFmtId="196" fontId="55" fillId="0" borderId="34" applyAlignment="0" applyProtection="0"/>
    <xf numFmtId="269" fontId="184" fillId="0" borderId="0" applyAlignment="0" applyProtection="0"/>
    <xf numFmtId="49" fontId="197" fillId="0" borderId="40" applyNumberFormat="0" applyAlignment="0" applyProtection="0">
      <alignment horizontal="left" wrapText="1"/>
    </xf>
    <xf numFmtId="249" fontId="49" fillId="0" borderId="0" applyFont="0" applyFill="0" applyBorder="0" applyAlignment="0" applyProtection="0"/>
    <xf numFmtId="0" fontId="28" fillId="0" borderId="0" applyNumberFormat="0" applyFill="0" applyProtection="0">
      <alignment horizontal="centerContinuous"/>
    </xf>
    <xf numFmtId="0" fontId="28" fillId="0" borderId="0" applyNumberFormat="0" applyFill="0" applyProtection="0">
      <alignment horizontal="centerContinuous"/>
    </xf>
    <xf numFmtId="0" fontId="28" fillId="0" borderId="0" applyNumberFormat="0" applyFill="0" applyProtection="0">
      <alignment horizontal="centerContinuous"/>
    </xf>
    <xf numFmtId="0" fontId="28" fillId="0" borderId="0" applyNumberFormat="0" applyFill="0" applyProtection="0">
      <alignment horizontal="centerContinuous"/>
    </xf>
    <xf numFmtId="0" fontId="28" fillId="0" borderId="0" applyNumberFormat="0" applyFill="0" applyProtection="0">
      <alignment horizontal="centerContinuous"/>
    </xf>
    <xf numFmtId="0" fontId="28" fillId="0" borderId="0" applyNumberFormat="0" applyFill="0" applyProtection="0">
      <alignment horizontal="centerContinuous"/>
    </xf>
    <xf numFmtId="0" fontId="28" fillId="0" borderId="0" applyNumberFormat="0" applyFill="0" applyProtection="0">
      <alignment horizontal="centerContinuous"/>
    </xf>
    <xf numFmtId="0" fontId="28" fillId="0" borderId="0" applyNumberFormat="0" applyFill="0" applyProtection="0">
      <alignment horizontal="centerContinuous"/>
    </xf>
    <xf numFmtId="0" fontId="28" fillId="0" borderId="0" applyNumberFormat="0" applyFill="0" applyProtection="0">
      <alignment horizontal="centerContinuous"/>
    </xf>
    <xf numFmtId="0" fontId="28" fillId="0" borderId="0" applyNumberFormat="0" applyFill="0" applyProtection="0">
      <alignment horizontal="centerContinuous"/>
    </xf>
    <xf numFmtId="0" fontId="28" fillId="0" borderId="0" applyNumberFormat="0" applyFill="0" applyProtection="0">
      <alignment horizontal="centerContinuous"/>
    </xf>
    <xf numFmtId="0" fontId="28" fillId="0" borderId="0" applyNumberFormat="0" applyFill="0" applyProtection="0">
      <alignment horizontal="centerContinuous"/>
    </xf>
    <xf numFmtId="197" fontId="28"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197" fontId="28" fillId="0" borderId="0" applyFill="0" applyBorder="0" applyAlignment="0"/>
    <xf numFmtId="197" fontId="28"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20" fontId="82" fillId="0" borderId="0" applyFill="0" applyBorder="0" applyAlignment="0"/>
    <xf numFmtId="274" fontId="4" fillId="0" borderId="0" applyFill="0" applyBorder="0" applyAlignment="0"/>
    <xf numFmtId="223" fontId="50" fillId="0" borderId="0" applyFill="0" applyBorder="0" applyAlignment="0"/>
    <xf numFmtId="236" fontId="50" fillId="0" borderId="0" applyFill="0" applyBorder="0" applyAlignment="0"/>
    <xf numFmtId="200" fontId="49" fillId="0" borderId="0" applyFill="0" applyBorder="0" applyAlignment="0"/>
    <xf numFmtId="237" fontId="49" fillId="0" borderId="0" applyFill="0" applyBorder="0" applyAlignment="0"/>
    <xf numFmtId="203" fontId="50" fillId="0" borderId="0" applyFill="0" applyBorder="0" applyAlignment="0"/>
    <xf numFmtId="238" fontId="50" fillId="0" borderId="0" applyFill="0" applyBorder="0" applyAlignment="0"/>
    <xf numFmtId="223" fontId="50" fillId="0" borderId="0" applyFill="0" applyBorder="0" applyAlignment="0"/>
    <xf numFmtId="0" fontId="155" fillId="53" borderId="41" applyNumberFormat="0" applyAlignment="0" applyProtection="0"/>
    <xf numFmtId="0" fontId="106" fillId="11" borderId="41" applyNumberFormat="0" applyAlignment="0" applyProtection="0">
      <alignment vertical="center"/>
    </xf>
    <xf numFmtId="0" fontId="106" fillId="11" borderId="41" applyNumberFormat="0" applyAlignment="0" applyProtection="0">
      <alignment vertical="center"/>
    </xf>
    <xf numFmtId="0" fontId="56" fillId="0" borderId="0"/>
    <xf numFmtId="275" fontId="49" fillId="0" borderId="0"/>
    <xf numFmtId="272" fontId="49" fillId="0" borderId="0"/>
    <xf numFmtId="264" fontId="49" fillId="0" borderId="0"/>
    <xf numFmtId="271" fontId="49" fillId="0" borderId="0"/>
    <xf numFmtId="282" fontId="49" fillId="0" borderId="0"/>
    <xf numFmtId="267" fontId="49" fillId="0" borderId="0"/>
    <xf numFmtId="20" fontId="49" fillId="0" borderId="0"/>
    <xf numFmtId="0" fontId="156" fillId="54" borderId="42" applyNumberFormat="0" applyAlignment="0" applyProtection="0"/>
    <xf numFmtId="0" fontId="191" fillId="8" borderId="42" applyNumberFormat="0" applyAlignment="0" applyProtection="0">
      <alignment vertical="center"/>
    </xf>
    <xf numFmtId="0" fontId="191" fillId="8" borderId="42" applyNumberFormat="0" applyAlignment="0" applyProtection="0">
      <alignment vertical="center"/>
    </xf>
    <xf numFmtId="0" fontId="130" fillId="0" borderId="0" applyNumberFormat="0" applyFill="0" applyBorder="0" applyAlignment="0" applyProtection="0"/>
    <xf numFmtId="0" fontId="83" fillId="0" borderId="2" applyNumberFormat="0" applyFill="0" applyProtection="0">
      <alignment horizontal="center"/>
    </xf>
    <xf numFmtId="0" fontId="35" fillId="0" borderId="43">
      <alignment horizontal="center" vertical="justify"/>
    </xf>
    <xf numFmtId="0" fontId="35" fillId="0" borderId="43">
      <alignment horizontal="center" vertical="justify"/>
    </xf>
    <xf numFmtId="0" fontId="35" fillId="0" borderId="43">
      <alignment horizontal="center" vertical="justify"/>
    </xf>
    <xf numFmtId="0" fontId="26" fillId="0" borderId="0" applyNumberFormat="0" applyFill="0" applyBorder="0" applyAlignment="0" applyProtection="0"/>
    <xf numFmtId="0" fontId="118" fillId="0" borderId="0" applyFill="0" applyBorder="0">
      <alignment horizontal="right"/>
    </xf>
    <xf numFmtId="0" fontId="28" fillId="0" borderId="0" applyFill="0" applyBorder="0">
      <alignment horizontal="right"/>
    </xf>
    <xf numFmtId="0" fontId="28" fillId="0" borderId="0" applyFill="0" applyBorder="0">
      <alignment horizontal="right"/>
    </xf>
    <xf numFmtId="0" fontId="84" fillId="0" borderId="6">
      <alignment horizontal="center"/>
    </xf>
    <xf numFmtId="221" fontId="49" fillId="0" borderId="0"/>
    <xf numFmtId="263" fontId="49" fillId="0" borderId="0"/>
    <xf numFmtId="221" fontId="49" fillId="0" borderId="0"/>
    <xf numFmtId="263" fontId="49" fillId="0" borderId="0"/>
    <xf numFmtId="221" fontId="49" fillId="0" borderId="0"/>
    <xf numFmtId="263" fontId="49" fillId="0" borderId="0"/>
    <xf numFmtId="221" fontId="49" fillId="0" borderId="0"/>
    <xf numFmtId="263" fontId="49" fillId="0" borderId="0"/>
    <xf numFmtId="221" fontId="49" fillId="0" borderId="0"/>
    <xf numFmtId="263" fontId="49" fillId="0" borderId="0"/>
    <xf numFmtId="221" fontId="49" fillId="0" borderId="0"/>
    <xf numFmtId="263" fontId="49" fillId="0" borderId="0"/>
    <xf numFmtId="221" fontId="49" fillId="0" borderId="0"/>
    <xf numFmtId="263" fontId="49" fillId="0" borderId="0"/>
    <xf numFmtId="221" fontId="49" fillId="0" borderId="0"/>
    <xf numFmtId="263" fontId="49" fillId="0" borderId="0"/>
    <xf numFmtId="41" fontId="145" fillId="0" borderId="0" applyFont="0" applyFill="0" applyBorder="0" applyAlignment="0" applyProtection="0"/>
    <xf numFmtId="203" fontId="50"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222" fontId="9" fillId="0" borderId="0"/>
    <xf numFmtId="283" fontId="205" fillId="0" borderId="0"/>
    <xf numFmtId="283" fontId="205" fillId="0" borderId="0"/>
    <xf numFmtId="37" fontId="80" fillId="0" borderId="0" applyFont="0" applyFill="0" applyBorder="0" applyAlignment="0" applyProtection="0"/>
    <xf numFmtId="223" fontId="80" fillId="0" borderId="0" applyFont="0" applyFill="0" applyBorder="0" applyAlignment="0" applyProtection="0"/>
    <xf numFmtId="39" fontId="80" fillId="0" borderId="0" applyFont="0" applyFill="0" applyBorder="0" applyAlignment="0" applyProtection="0"/>
    <xf numFmtId="37" fontId="189" fillId="0" borderId="0" applyFont="0" applyFill="0" applyBorder="0" applyAlignment="0" applyProtection="0"/>
    <xf numFmtId="40" fontId="57" fillId="0" borderId="0" applyFont="0" applyFill="0" applyBorder="0" applyAlignment="0" applyProtection="0"/>
    <xf numFmtId="40" fontId="49" fillId="0" borderId="0" applyFont="0" applyFill="0" applyBorder="0" applyAlignment="0" applyProtection="0"/>
    <xf numFmtId="0" fontId="49" fillId="0" borderId="0" applyFont="0" applyFill="0" applyBorder="0" applyAlignment="0" applyProtection="0"/>
    <xf numFmtId="0" fontId="131" fillId="0" borderId="0"/>
    <xf numFmtId="0" fontId="50" fillId="0" borderId="0"/>
    <xf numFmtId="0" fontId="131" fillId="0" borderId="0"/>
    <xf numFmtId="0" fontId="50" fillId="0" borderId="0"/>
    <xf numFmtId="195" fontId="9" fillId="0" borderId="0"/>
    <xf numFmtId="280" fontId="49" fillId="0" borderId="0"/>
    <xf numFmtId="280" fontId="49" fillId="0" borderId="0"/>
    <xf numFmtId="0" fontId="85" fillId="0" borderId="0" applyNumberFormat="0" applyAlignment="0">
      <alignment horizontal="left"/>
    </xf>
    <xf numFmtId="0" fontId="64" fillId="0" borderId="0" applyNumberFormat="0" applyAlignment="0"/>
    <xf numFmtId="266" fontId="49" fillId="0" borderId="0" applyBorder="0"/>
    <xf numFmtId="265" fontId="49" fillId="0" borderId="0" applyBorder="0"/>
    <xf numFmtId="285" fontId="49" fillId="0" borderId="0" applyBorder="0"/>
    <xf numFmtId="0" fontId="28" fillId="0" borderId="44" applyNumberFormat="0" applyFont="0" applyFill="0" applyBorder="0" applyProtection="0">
      <alignment horizontal="centerContinuous"/>
    </xf>
    <xf numFmtId="239" fontId="9" fillId="0" borderId="0" applyFill="0" applyBorder="0" applyProtection="0"/>
    <xf numFmtId="239" fontId="9" fillId="0" borderId="34" applyFill="0" applyProtection="0"/>
    <xf numFmtId="239" fontId="9" fillId="0" borderId="45" applyFill="0" applyProtection="0"/>
    <xf numFmtId="0" fontId="183" fillId="0" borderId="0"/>
    <xf numFmtId="0" fontId="183" fillId="0" borderId="0">
      <alignment horizontal="center"/>
    </xf>
    <xf numFmtId="0" fontId="84" fillId="0" borderId="0">
      <alignment horizontal="center"/>
    </xf>
    <xf numFmtId="0" fontId="49" fillId="0" borderId="0">
      <alignment horizontal="center"/>
    </xf>
    <xf numFmtId="0" fontId="49" fillId="0" borderId="0">
      <alignment vertical="top" wrapText="1"/>
    </xf>
    <xf numFmtId="0" fontId="194" fillId="0" borderId="0"/>
    <xf numFmtId="0" fontId="59" fillId="0" borderId="0"/>
    <xf numFmtId="0" fontId="212" fillId="0" borderId="0"/>
    <xf numFmtId="0" fontId="28" fillId="0" borderId="2" applyNumberFormat="0" applyFont="0" applyFill="0" applyProtection="0">
      <alignment horizontal="centerContinuous"/>
    </xf>
    <xf numFmtId="0" fontId="199" fillId="0" borderId="0"/>
    <xf numFmtId="198" fontId="9" fillId="0" borderId="0">
      <alignment horizontal="center"/>
    </xf>
    <xf numFmtId="202" fontId="145" fillId="0" borderId="0" applyFont="0" applyFill="0" applyBorder="0" applyAlignment="0" applyProtection="0"/>
    <xf numFmtId="223" fontId="50" fillId="0" borderId="0" applyFont="0" applyFill="0" applyBorder="0" applyAlignment="0" applyProtection="0"/>
    <xf numFmtId="24" fontId="189" fillId="0" borderId="0" applyFont="0" applyFill="0" applyBorder="0" applyAlignment="0" applyProtection="0"/>
    <xf numFmtId="25" fontId="189" fillId="0" borderId="0" applyFont="0" applyFill="0" applyBorder="0" applyAlignment="0" applyProtection="0"/>
    <xf numFmtId="196" fontId="80" fillId="0" borderId="0" applyFont="0" applyFill="0" applyBorder="0" applyAlignment="0" applyProtection="0"/>
    <xf numFmtId="224" fontId="80" fillId="0" borderId="0" applyFont="0" applyFill="0" applyBorder="0" applyAlignment="0" applyProtection="0"/>
    <xf numFmtId="199" fontId="49" fillId="0" borderId="0" applyFont="0" applyFill="0" applyBorder="0" applyAlignment="0" applyProtection="0"/>
    <xf numFmtId="199" fontId="49" fillId="0" borderId="0" applyFont="0" applyFill="0" applyBorder="0" applyAlignment="0" applyProtection="0"/>
    <xf numFmtId="286" fontId="189" fillId="0" borderId="0" applyFont="0" applyFill="0" applyBorder="0" applyAlignment="0" applyProtection="0"/>
    <xf numFmtId="225" fontId="4" fillId="0" borderId="0" applyFont="0" applyFill="0" applyBorder="0" applyAlignment="0" applyProtection="0"/>
    <xf numFmtId="226" fontId="9" fillId="0" borderId="0"/>
    <xf numFmtId="277" fontId="205" fillId="0" borderId="0"/>
    <xf numFmtId="277" fontId="205" fillId="0" borderId="0"/>
    <xf numFmtId="196" fontId="28" fillId="0" borderId="0" applyFont="0" applyFill="0" applyBorder="0" applyAlignment="0" applyProtection="0"/>
    <xf numFmtId="224" fontId="28" fillId="0" borderId="0" applyFont="0" applyFill="0" applyBorder="0" applyAlignment="0" applyProtection="0"/>
    <xf numFmtId="250" fontId="28" fillId="0" borderId="0" applyFont="0" applyFill="0" applyBorder="0" applyAlignment="0" applyProtection="0"/>
    <xf numFmtId="39" fontId="28" fillId="0" borderId="0"/>
    <xf numFmtId="251" fontId="28" fillId="0" borderId="0" applyFont="0" applyFill="0" applyBorder="0" applyAlignment="0" applyProtection="0"/>
    <xf numFmtId="252" fontId="49" fillId="0" borderId="0" applyFont="0" applyFill="0" applyBorder="0" applyAlignment="0" applyProtection="0"/>
    <xf numFmtId="200" fontId="57" fillId="0" borderId="0" applyFont="0" applyFill="0" applyBorder="0" applyProtection="0">
      <alignment horizontal="centerContinuous"/>
    </xf>
    <xf numFmtId="200" fontId="49" fillId="0" borderId="0" applyFont="0" applyFill="0" applyBorder="0" applyProtection="0">
      <alignment horizontal="centerContinuous"/>
    </xf>
    <xf numFmtId="14" fontId="82" fillId="0" borderId="0" applyFill="0" applyBorder="0" applyAlignment="0"/>
    <xf numFmtId="15" fontId="57" fillId="0" borderId="0"/>
    <xf numFmtId="240" fontId="9" fillId="0" borderId="0" applyFill="0" applyBorder="0" applyProtection="0"/>
    <xf numFmtId="240" fontId="9" fillId="0" borderId="34" applyFill="0" applyProtection="0"/>
    <xf numFmtId="240" fontId="9" fillId="0" borderId="45" applyFill="0" applyProtection="0"/>
    <xf numFmtId="223" fontId="204" fillId="0" borderId="0" applyFont="0" applyFill="0" applyBorder="0" applyAlignment="0" applyProtection="0">
      <protection locked="0"/>
    </xf>
    <xf numFmtId="39" fontId="50" fillId="0" borderId="0" applyFont="0" applyFill="0" applyBorder="0" applyAlignment="0" applyProtection="0"/>
    <xf numFmtId="246" fontId="53" fillId="0" borderId="0" applyFont="0" applyFill="0" applyBorder="0" applyAlignment="0"/>
    <xf numFmtId="268" fontId="49" fillId="0" borderId="0" applyFont="0" applyFill="0" applyBorder="0" applyAlignment="0" applyProtection="0"/>
    <xf numFmtId="287" fontId="49" fillId="0" borderId="0" applyFont="0" applyFill="0" applyBorder="0" applyAlignment="0" applyProtection="0"/>
    <xf numFmtId="0" fontId="132" fillId="0" borderId="0">
      <protection locked="0"/>
    </xf>
    <xf numFmtId="227" fontId="9" fillId="0" borderId="0"/>
    <xf numFmtId="279" fontId="205" fillId="0" borderId="0"/>
    <xf numFmtId="279" fontId="205" fillId="0" borderId="0"/>
    <xf numFmtId="253" fontId="128" fillId="0" borderId="0" applyNumberFormat="0"/>
    <xf numFmtId="0" fontId="28" fillId="0" borderId="21" applyNumberFormat="0" applyFont="0" applyFill="0" applyAlignment="0" applyProtection="0"/>
    <xf numFmtId="0" fontId="120" fillId="0" borderId="0" applyNumberFormat="0" applyFill="0" applyBorder="0" applyAlignment="0" applyProtection="0"/>
    <xf numFmtId="0" fontId="133" fillId="0" borderId="0">
      <protection locked="0"/>
    </xf>
    <xf numFmtId="0" fontId="133" fillId="0" borderId="0">
      <protection locked="0"/>
    </xf>
    <xf numFmtId="203" fontId="50" fillId="0" borderId="0" applyFill="0" applyBorder="0" applyAlignment="0"/>
    <xf numFmtId="223" fontId="50" fillId="0" borderId="0" applyFill="0" applyBorder="0" applyAlignment="0"/>
    <xf numFmtId="203" fontId="50" fillId="0" borderId="0" applyFill="0" applyBorder="0" applyAlignment="0"/>
    <xf numFmtId="238" fontId="50" fillId="0" borderId="0" applyFill="0" applyBorder="0" applyAlignment="0"/>
    <xf numFmtId="223" fontId="50" fillId="0" borderId="0" applyFill="0" applyBorder="0" applyAlignment="0"/>
    <xf numFmtId="0" fontId="86" fillId="0" borderId="0" applyNumberFormat="0" applyAlignment="0">
      <alignment horizontal="left"/>
    </xf>
    <xf numFmtId="0" fontId="38" fillId="0" borderId="0">
      <alignment horizontal="left"/>
    </xf>
    <xf numFmtId="0" fontId="59" fillId="7" borderId="1"/>
    <xf numFmtId="39" fontId="49" fillId="0" borderId="0" applyFont="0" applyFill="0" applyBorder="0" applyAlignment="0" applyProtection="0"/>
    <xf numFmtId="201" fontId="49" fillId="0" borderId="0" applyFont="0" applyFill="0" applyBorder="0" applyAlignment="0" applyProtection="0"/>
    <xf numFmtId="201" fontId="5" fillId="0" borderId="0" applyFont="0" applyFill="0" applyBorder="0" applyAlignment="0" applyProtection="0"/>
    <xf numFmtId="201" fontId="5" fillId="0" borderId="0" applyFont="0" applyFill="0" applyBorder="0" applyAlignment="0" applyProtection="0"/>
    <xf numFmtId="201" fontId="5" fillId="0" borderId="0" applyFont="0" applyFill="0" applyBorder="0" applyAlignment="0" applyProtection="0"/>
    <xf numFmtId="201" fontId="5" fillId="0" borderId="0" applyFont="0" applyFill="0" applyBorder="0" applyAlignment="0" applyProtection="0"/>
    <xf numFmtId="201" fontId="5" fillId="0" borderId="0" applyFont="0" applyFill="0" applyBorder="0" applyAlignment="0" applyProtection="0"/>
    <xf numFmtId="0" fontId="157" fillId="0" borderId="0" applyNumberFormat="0" applyFill="0" applyBorder="0" applyAlignment="0" applyProtection="0"/>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28" fillId="0" borderId="0" applyNumberFormat="0" applyFill="0" applyBorder="0" applyAlignment="0" applyProtection="0"/>
    <xf numFmtId="0" fontId="49" fillId="0" borderId="0">
      <protection locked="0"/>
    </xf>
    <xf numFmtId="241" fontId="49" fillId="0" borderId="0">
      <protection locked="0"/>
    </xf>
    <xf numFmtId="241" fontId="49" fillId="0" borderId="0">
      <protection locked="0"/>
    </xf>
    <xf numFmtId="241" fontId="49" fillId="0" borderId="0">
      <protection locked="0"/>
    </xf>
    <xf numFmtId="241" fontId="49" fillId="0" borderId="0">
      <protection locked="0"/>
    </xf>
    <xf numFmtId="241" fontId="49" fillId="0" borderId="0">
      <protection locked="0"/>
    </xf>
    <xf numFmtId="241" fontId="49" fillId="0" borderId="0">
      <protection locked="0"/>
    </xf>
    <xf numFmtId="241" fontId="49" fillId="0" borderId="0">
      <protection locked="0"/>
    </xf>
    <xf numFmtId="0" fontId="132" fillId="0" borderId="0">
      <protection locked="0"/>
    </xf>
    <xf numFmtId="0" fontId="132" fillId="0" borderId="0">
      <protection locked="0"/>
    </xf>
    <xf numFmtId="241" fontId="49" fillId="0" borderId="0">
      <protection locked="0"/>
    </xf>
    <xf numFmtId="0" fontId="58" fillId="0" borderId="0" applyNumberFormat="0" applyFill="0" applyBorder="0" applyAlignment="0" applyProtection="0">
      <alignment vertical="top"/>
      <protection locked="0"/>
    </xf>
    <xf numFmtId="276" fontId="59" fillId="0" borderId="0">
      <alignment horizontal="left"/>
    </xf>
    <xf numFmtId="242" fontId="7" fillId="0" borderId="0">
      <alignment horizontal="right"/>
    </xf>
    <xf numFmtId="0" fontId="190" fillId="0" borderId="46" applyNumberFormat="0">
      <alignment horizontal="left" vertical="center" wrapText="1"/>
    </xf>
    <xf numFmtId="0" fontId="49" fillId="0" borderId="0"/>
    <xf numFmtId="0" fontId="158" fillId="14" borderId="0" applyNumberFormat="0" applyBorder="0" applyAlignment="0" applyProtection="0"/>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38" fontId="59" fillId="11" borderId="0" applyNumberFormat="0" applyBorder="0" applyAlignment="0" applyProtection="0"/>
    <xf numFmtId="0" fontId="59" fillId="11" borderId="0" applyNumberFormat="0" applyBorder="0" applyAlignment="0" applyProtection="0"/>
    <xf numFmtId="0" fontId="159" fillId="0" borderId="0">
      <alignment horizontal="center" vertical="center"/>
    </xf>
    <xf numFmtId="0" fontId="159" fillId="0" borderId="0">
      <alignment horizontal="center" vertical="center"/>
    </xf>
    <xf numFmtId="0" fontId="60" fillId="0" borderId="0">
      <alignment horizontal="left"/>
    </xf>
    <xf numFmtId="0" fontId="61" fillId="0" borderId="47" applyNumberFormat="0" applyAlignment="0" applyProtection="0">
      <alignment horizontal="left" vertical="center"/>
    </xf>
    <xf numFmtId="0" fontId="61" fillId="0" borderId="5">
      <alignment horizontal="left" vertical="center"/>
    </xf>
    <xf numFmtId="0" fontId="183" fillId="0" borderId="0" applyNumberFormat="0" applyFill="0"/>
    <xf numFmtId="0" fontId="160" fillId="0" borderId="48" applyNumberFormat="0" applyFill="0" applyAlignment="0" applyProtection="0"/>
    <xf numFmtId="0" fontId="215" fillId="0" borderId="49" applyNumberFormat="0" applyFill="0" applyAlignment="0" applyProtection="0">
      <alignment vertical="center"/>
    </xf>
    <xf numFmtId="0" fontId="215" fillId="0" borderId="49" applyNumberFormat="0" applyFill="0" applyAlignment="0" applyProtection="0">
      <alignment vertical="center"/>
    </xf>
    <xf numFmtId="0" fontId="161" fillId="0" borderId="50" applyNumberFormat="0" applyFill="0" applyAlignment="0" applyProtection="0"/>
    <xf numFmtId="0" fontId="211" fillId="0" borderId="50" applyNumberFormat="0" applyFill="0" applyAlignment="0" applyProtection="0">
      <alignment vertical="center"/>
    </xf>
    <xf numFmtId="0" fontId="211" fillId="0" borderId="50" applyNumberFormat="0" applyFill="0" applyAlignment="0" applyProtection="0">
      <alignment vertical="center"/>
    </xf>
    <xf numFmtId="0" fontId="162" fillId="0" borderId="51" applyNumberFormat="0" applyFill="0" applyAlignment="0" applyProtection="0"/>
    <xf numFmtId="0" fontId="203" fillId="0" borderId="52" applyNumberFormat="0" applyFill="0" applyAlignment="0" applyProtection="0">
      <alignment vertical="center"/>
    </xf>
    <xf numFmtId="0" fontId="203" fillId="0" borderId="52" applyNumberFormat="0" applyFill="0" applyAlignment="0" applyProtection="0">
      <alignment vertical="center"/>
    </xf>
    <xf numFmtId="0" fontId="162" fillId="0" borderId="0" applyNumberFormat="0" applyFill="0" applyBorder="0" applyAlignment="0" applyProtection="0"/>
    <xf numFmtId="0" fontId="203" fillId="0" borderId="0" applyNumberFormat="0" applyFill="0" applyBorder="0" applyAlignment="0" applyProtection="0">
      <alignment vertical="center"/>
    </xf>
    <xf numFmtId="0" fontId="203" fillId="0" borderId="0" applyNumberFormat="0" applyFill="0" applyBorder="0" applyAlignment="0" applyProtection="0">
      <alignment vertical="center"/>
    </xf>
    <xf numFmtId="241" fontId="49" fillId="0" borderId="0">
      <protection locked="0"/>
    </xf>
    <xf numFmtId="241" fontId="49" fillId="0" borderId="0">
      <protection locked="0"/>
    </xf>
    <xf numFmtId="0" fontId="196" fillId="0" borderId="44">
      <alignment horizontal="center"/>
    </xf>
    <xf numFmtId="0" fontId="196" fillId="0" borderId="0">
      <alignment horizontal="center"/>
    </xf>
    <xf numFmtId="254" fontId="49" fillId="0" borderId="0" applyFont="0" applyFill="0" applyBorder="0" applyAlignment="0"/>
    <xf numFmtId="0" fontId="163" fillId="0" borderId="0"/>
    <xf numFmtId="0" fontId="207" fillId="0" borderId="0" applyNumberFormat="0" applyFill="0" applyBorder="0" applyAlignment="0" applyProtection="0">
      <alignment vertical="top"/>
      <protection locked="0"/>
    </xf>
    <xf numFmtId="0" fontId="207"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275" fontId="129" fillId="55" borderId="0"/>
    <xf numFmtId="272" fontId="129" fillId="55" borderId="0"/>
    <xf numFmtId="264" fontId="129" fillId="55" borderId="0"/>
    <xf numFmtId="288" fontId="49" fillId="55" borderId="0">
      <protection locked="0"/>
    </xf>
    <xf numFmtId="211" fontId="49" fillId="55" borderId="0">
      <protection locked="0"/>
    </xf>
    <xf numFmtId="271" fontId="49" fillId="55" borderId="0">
      <protection locked="0"/>
    </xf>
    <xf numFmtId="282" fontId="49" fillId="55" borderId="0">
      <protection locked="0"/>
    </xf>
    <xf numFmtId="267" fontId="49" fillId="55" borderId="0">
      <protection locked="0"/>
    </xf>
    <xf numFmtId="20" fontId="49" fillId="55" borderId="0">
      <protection locked="0"/>
    </xf>
    <xf numFmtId="0" fontId="9" fillId="20" borderId="0" applyNumberFormat="0" applyFont="0" applyBorder="0" applyAlignment="0">
      <protection locked="0"/>
    </xf>
    <xf numFmtId="180" fontId="198" fillId="0" borderId="32" applyFill="0" applyBorder="0" applyAlignment="0">
      <alignment horizontal="center"/>
      <protection locked="0"/>
    </xf>
    <xf numFmtId="10" fontId="59" fillId="11" borderId="1" applyNumberFormat="0" applyBorder="0" applyAlignment="0" applyProtection="0"/>
    <xf numFmtId="10" fontId="59" fillId="15" borderId="1" applyNumberFormat="0" applyBorder="0" applyAlignment="0" applyProtection="0"/>
    <xf numFmtId="10" fontId="59" fillId="15" borderId="1" applyNumberFormat="0" applyBorder="0" applyAlignment="0" applyProtection="0"/>
    <xf numFmtId="10" fontId="59" fillId="15" borderId="1" applyNumberFormat="0" applyBorder="0" applyAlignment="0" applyProtection="0"/>
    <xf numFmtId="10" fontId="59" fillId="15" borderId="1" applyNumberFormat="0" applyBorder="0" applyAlignment="0" applyProtection="0"/>
    <xf numFmtId="10" fontId="59" fillId="15" borderId="1" applyNumberFormat="0" applyBorder="0" applyAlignment="0" applyProtection="0"/>
    <xf numFmtId="0" fontId="59" fillId="11" borderId="1" applyNumberFormat="0" applyBorder="0" applyAlignment="0" applyProtection="0"/>
    <xf numFmtId="223" fontId="198" fillId="0" borderId="0" applyFill="0" applyBorder="0" applyAlignment="0">
      <protection locked="0"/>
    </xf>
    <xf numFmtId="37" fontId="198" fillId="0" borderId="0" applyFill="0" applyBorder="0" applyAlignment="0">
      <protection locked="0"/>
    </xf>
    <xf numFmtId="37" fontId="198" fillId="0" borderId="0" applyFill="0" applyBorder="0" applyAlignment="0">
      <protection locked="0"/>
    </xf>
    <xf numFmtId="37" fontId="198" fillId="0" borderId="0" applyFill="0" applyBorder="0" applyAlignment="0">
      <protection locked="0"/>
    </xf>
    <xf numFmtId="37" fontId="198" fillId="0" borderId="0" applyFill="0" applyBorder="0" applyAlignment="0">
      <protection locked="0"/>
    </xf>
    <xf numFmtId="246" fontId="198" fillId="0" borderId="0" applyFill="0" applyBorder="0" applyAlignment="0" applyProtection="0">
      <protection locked="0"/>
    </xf>
    <xf numFmtId="37" fontId="198" fillId="0" borderId="0" applyFill="0" applyBorder="0" applyAlignment="0">
      <protection locked="0"/>
    </xf>
    <xf numFmtId="37" fontId="198" fillId="0" borderId="0" applyFill="0" applyBorder="0" applyAlignment="0">
      <protection locked="0"/>
    </xf>
    <xf numFmtId="37" fontId="198" fillId="0" borderId="0" applyFill="0" applyBorder="0" applyAlignment="0">
      <protection locked="0"/>
    </xf>
    <xf numFmtId="37" fontId="198" fillId="0" borderId="0" applyFill="0" applyBorder="0" applyAlignment="0">
      <protection locked="0"/>
    </xf>
    <xf numFmtId="37" fontId="198" fillId="0" borderId="0" applyFill="0" applyBorder="0" applyAlignment="0">
      <protection locked="0"/>
    </xf>
    <xf numFmtId="37" fontId="198" fillId="0" borderId="0" applyFill="0" applyBorder="0" applyAlignment="0">
      <protection locked="0"/>
    </xf>
    <xf numFmtId="228" fontId="4" fillId="56" borderId="0"/>
    <xf numFmtId="228" fontId="4" fillId="56" borderId="0"/>
    <xf numFmtId="228" fontId="4" fillId="57" borderId="0"/>
    <xf numFmtId="228" fontId="4" fillId="57" borderId="0"/>
    <xf numFmtId="228" fontId="4" fillId="56" borderId="0"/>
    <xf numFmtId="228" fontId="4" fillId="57" borderId="0"/>
    <xf numFmtId="228" fontId="4" fillId="57" borderId="0"/>
    <xf numFmtId="0" fontId="9" fillId="20" borderId="0" applyNumberFormat="0" applyFont="0" applyBorder="0" applyAlignment="0">
      <protection locked="0"/>
    </xf>
    <xf numFmtId="0" fontId="118" fillId="37" borderId="0" applyNumberFormat="0" applyFont="0" applyBorder="0" applyAlignment="0" applyProtection="0">
      <alignment horizontal="right"/>
    </xf>
    <xf numFmtId="0" fontId="129" fillId="0" borderId="0" applyNumberFormat="0" applyFill="0" applyBorder="0" applyAlignment="0">
      <protection locked="0"/>
    </xf>
    <xf numFmtId="266" fontId="49" fillId="55" borderId="0">
      <protection locked="0"/>
    </xf>
    <xf numFmtId="265" fontId="49" fillId="55" borderId="0">
      <protection locked="0"/>
    </xf>
    <xf numFmtId="0" fontId="183" fillId="55" borderId="0">
      <protection locked="0"/>
    </xf>
    <xf numFmtId="0" fontId="49" fillId="55" borderId="0">
      <alignment horizontal="center"/>
      <protection locked="0"/>
    </xf>
    <xf numFmtId="0" fontId="49" fillId="55" borderId="0">
      <protection locked="0"/>
    </xf>
    <xf numFmtId="0" fontId="49" fillId="55" borderId="0"/>
    <xf numFmtId="0" fontId="49" fillId="55" borderId="0">
      <alignment vertical="top" wrapText="1"/>
      <protection locked="0"/>
    </xf>
    <xf numFmtId="0" fontId="194" fillId="55" borderId="0">
      <protection locked="0"/>
    </xf>
    <xf numFmtId="0" fontId="59" fillId="55" borderId="0">
      <protection locked="0"/>
    </xf>
    <xf numFmtId="0" fontId="212" fillId="55" borderId="0">
      <protection locked="0"/>
    </xf>
    <xf numFmtId="224" fontId="128" fillId="0" borderId="0"/>
    <xf numFmtId="38" fontId="119" fillId="0" borderId="0"/>
    <xf numFmtId="38" fontId="121" fillId="0" borderId="0"/>
    <xf numFmtId="38" fontId="122" fillId="0" borderId="0"/>
    <xf numFmtId="38" fontId="118" fillId="0" borderId="0"/>
    <xf numFmtId="0" fontId="7" fillId="0" borderId="0"/>
    <xf numFmtId="0" fontId="7" fillId="0" borderId="0"/>
    <xf numFmtId="0" fontId="104" fillId="0" borderId="35" applyNumberFormat="0" applyBorder="0" applyAlignment="0">
      <alignment wrapText="1"/>
    </xf>
    <xf numFmtId="0" fontId="28" fillId="0" borderId="0" applyFont="0" applyFill="0">
      <alignment horizontal="fill"/>
    </xf>
    <xf numFmtId="0" fontId="28" fillId="0" borderId="0" applyFont="0" applyFill="0">
      <alignment horizontal="fill"/>
    </xf>
    <xf numFmtId="203" fontId="50" fillId="0" borderId="0" applyFill="0" applyBorder="0" applyAlignment="0"/>
    <xf numFmtId="223" fontId="50" fillId="0" borderId="0" applyFill="0" applyBorder="0" applyAlignment="0"/>
    <xf numFmtId="203" fontId="50" fillId="0" borderId="0" applyFill="0" applyBorder="0" applyAlignment="0"/>
    <xf numFmtId="238" fontId="50" fillId="0" borderId="0" applyFill="0" applyBorder="0" applyAlignment="0"/>
    <xf numFmtId="223" fontId="50" fillId="0" borderId="0" applyFill="0" applyBorder="0" applyAlignment="0"/>
    <xf numFmtId="0" fontId="164" fillId="0" borderId="53" applyNumberFormat="0" applyFill="0" applyAlignment="0" applyProtection="0"/>
    <xf numFmtId="0" fontId="110" fillId="0" borderId="53" applyNumberFormat="0" applyFill="0" applyAlignment="0" applyProtection="0">
      <alignment vertical="center"/>
    </xf>
    <xf numFmtId="0" fontId="110" fillId="0" borderId="53" applyNumberFormat="0" applyFill="0" applyAlignment="0" applyProtection="0">
      <alignment vertical="center"/>
    </xf>
    <xf numFmtId="228" fontId="4" fillId="58" borderId="0"/>
    <xf numFmtId="228" fontId="4" fillId="58" borderId="0"/>
    <xf numFmtId="228" fontId="4" fillId="59" borderId="0"/>
    <xf numFmtId="228" fontId="4" fillId="59" borderId="0"/>
    <xf numFmtId="228" fontId="4" fillId="58" borderId="0"/>
    <xf numFmtId="228" fontId="4" fillId="59" borderId="0"/>
    <xf numFmtId="228" fontId="4" fillId="59" borderId="0"/>
    <xf numFmtId="255" fontId="49" fillId="0" borderId="0" applyFont="0" applyFill="0" applyBorder="0" applyAlignment="0" applyProtection="0"/>
    <xf numFmtId="256" fontId="49" fillId="0" borderId="0" applyFont="0" applyFill="0" applyBorder="0" applyAlignment="0" applyProtection="0"/>
    <xf numFmtId="41" fontId="49" fillId="0" borderId="0" applyFont="0" applyFill="0" applyBorder="0" applyAlignment="0" applyProtection="0"/>
    <xf numFmtId="43" fontId="49" fillId="0" borderId="0" applyFont="0" applyFill="0" applyBorder="0" applyAlignment="0" applyProtection="0"/>
    <xf numFmtId="0" fontId="63" fillId="0" borderId="44"/>
    <xf numFmtId="202" fontId="88" fillId="0" borderId="0" applyFont="0" applyFill="0" applyBorder="0" applyAlignment="0" applyProtection="0"/>
    <xf numFmtId="203" fontId="88" fillId="0" borderId="0" applyFont="0" applyFill="0" applyBorder="0" applyAlignment="0" applyProtection="0"/>
    <xf numFmtId="284" fontId="49" fillId="0" borderId="0" applyFont="0" applyFill="0" applyBorder="0" applyAlignment="0" applyProtection="0"/>
    <xf numFmtId="284" fontId="49" fillId="0" borderId="0" applyFont="0" applyFill="0" applyBorder="0" applyAlignment="0" applyProtection="0"/>
    <xf numFmtId="257" fontId="49" fillId="0" borderId="0" applyFont="0" applyFill="0" applyBorder="0" applyAlignment="0" applyProtection="0"/>
    <xf numFmtId="258" fontId="49" fillId="0" borderId="0" applyFont="0" applyFill="0" applyBorder="0" applyAlignment="0" applyProtection="0"/>
    <xf numFmtId="229" fontId="4" fillId="0" borderId="0" applyFont="0" applyFill="0" applyBorder="0" applyAlignment="0" applyProtection="0"/>
    <xf numFmtId="180" fontId="4" fillId="0" borderId="0" applyFont="0" applyFill="0" applyBorder="0" applyAlignment="0" applyProtection="0"/>
    <xf numFmtId="281" fontId="208" fillId="0" borderId="0" applyFont="0" applyFill="0" applyBorder="0" applyAlignment="0" applyProtection="0"/>
    <xf numFmtId="202" fontId="49" fillId="0" borderId="0" applyFont="0" applyFill="0" applyBorder="0" applyAlignment="0" applyProtection="0"/>
    <xf numFmtId="203" fontId="49" fillId="0" borderId="0" applyFont="0" applyFill="0" applyBorder="0" applyAlignment="0" applyProtection="0"/>
    <xf numFmtId="259" fontId="49" fillId="0" borderId="0" applyFont="0" applyFill="0" applyBorder="0" applyAlignment="0" applyProtection="0"/>
    <xf numFmtId="0" fontId="28" fillId="0" borderId="0">
      <alignment horizontal="centerContinuous"/>
    </xf>
    <xf numFmtId="0" fontId="28" fillId="0" borderId="0">
      <alignment horizontal="centerContinuous"/>
    </xf>
    <xf numFmtId="0" fontId="28" fillId="0" borderId="0">
      <alignment horizontal="centerContinuous"/>
    </xf>
    <xf numFmtId="0" fontId="28" fillId="0" borderId="0">
      <alignment horizontal="centerContinuous"/>
    </xf>
    <xf numFmtId="0" fontId="28" fillId="0" borderId="0">
      <alignment horizontal="centerContinuous"/>
    </xf>
    <xf numFmtId="0" fontId="28" fillId="0" borderId="0">
      <alignment horizontal="centerContinuous"/>
    </xf>
    <xf numFmtId="0" fontId="28" fillId="0" borderId="0">
      <alignment horizontal="centerContinuous"/>
    </xf>
    <xf numFmtId="0" fontId="28" fillId="0" borderId="0">
      <alignment horizontal="centerContinuous"/>
    </xf>
    <xf numFmtId="0" fontId="28" fillId="0" borderId="0">
      <alignment horizontal="centerContinuous"/>
    </xf>
    <xf numFmtId="0" fontId="28" fillId="0" borderId="0">
      <alignment horizontal="centerContinuous"/>
    </xf>
    <xf numFmtId="0" fontId="28" fillId="0" borderId="0">
      <alignment horizontal="centerContinuous"/>
    </xf>
    <xf numFmtId="0" fontId="28" fillId="0" borderId="0">
      <alignment horizontal="centerContinuous"/>
    </xf>
    <xf numFmtId="0" fontId="165" fillId="28" borderId="0" applyNumberFormat="0" applyBorder="0" applyAlignment="0" applyProtection="0"/>
    <xf numFmtId="0" fontId="113" fillId="25" borderId="0" applyNumberFormat="0" applyBorder="0" applyAlignment="0" applyProtection="0">
      <alignment vertical="center"/>
    </xf>
    <xf numFmtId="0" fontId="113" fillId="25" borderId="0" applyNumberFormat="0" applyBorder="0" applyAlignment="0" applyProtection="0">
      <alignment vertical="center"/>
    </xf>
    <xf numFmtId="0" fontId="9" fillId="0" borderId="0"/>
    <xf numFmtId="275" fontId="59" fillId="0" borderId="0"/>
    <xf numFmtId="37" fontId="87" fillId="0" borderId="0"/>
    <xf numFmtId="0" fontId="64" fillId="0" borderId="0"/>
    <xf numFmtId="0" fontId="64" fillId="0" borderId="0"/>
    <xf numFmtId="37" fontId="134" fillId="60" borderId="54">
      <alignment horizontal="right" vertical="center"/>
      <protection locked="0"/>
    </xf>
    <xf numFmtId="204" fontId="65" fillId="0" borderId="0"/>
    <xf numFmtId="180" fontId="4" fillId="0" borderId="0"/>
    <xf numFmtId="39" fontId="4" fillId="0" borderId="0"/>
    <xf numFmtId="39" fontId="4" fillId="0" borderId="0"/>
    <xf numFmtId="180" fontId="4" fillId="0" borderId="0"/>
    <xf numFmtId="180" fontId="4" fillId="0" borderId="0"/>
    <xf numFmtId="180" fontId="4" fillId="0" borderId="0"/>
    <xf numFmtId="180" fontId="4" fillId="0" borderId="0"/>
    <xf numFmtId="39" fontId="4" fillId="0" borderId="0"/>
    <xf numFmtId="278" fontId="185" fillId="0" borderId="0" applyFill="0" applyBorder="0" applyAlignment="0"/>
    <xf numFmtId="0" fontId="49" fillId="0" borderId="0"/>
    <xf numFmtId="0" fontId="49" fillId="0" borderId="0"/>
    <xf numFmtId="0" fontId="49" fillId="0" borderId="0">
      <alignment vertical="top"/>
    </xf>
    <xf numFmtId="251" fontId="49" fillId="0" borderId="55" applyFont="0" applyFill="0" applyBorder="0" applyAlignment="0" applyProtection="0">
      <protection locked="0"/>
    </xf>
    <xf numFmtId="0" fontId="57" fillId="0" borderId="0"/>
    <xf numFmtId="223" fontId="49" fillId="0" borderId="0" applyFont="0" applyFill="0" applyBorder="0" applyAlignment="0" applyProtection="0"/>
    <xf numFmtId="223" fontId="49" fillId="0" borderId="0"/>
    <xf numFmtId="251" fontId="134" fillId="61" borderId="56" applyProtection="0">
      <alignment horizontal="right" vertical="center"/>
      <protection locked="0"/>
    </xf>
    <xf numFmtId="223" fontId="49" fillId="0" borderId="0"/>
    <xf numFmtId="39" fontId="49" fillId="0" borderId="0" applyFont="0" applyFill="0" applyBorder="0" applyAlignment="0" applyProtection="0"/>
    <xf numFmtId="0" fontId="49" fillId="0" borderId="0"/>
    <xf numFmtId="0" fontId="88" fillId="0" borderId="0"/>
    <xf numFmtId="260" fontId="49" fillId="0" borderId="55" applyFont="0" applyFill="0" applyBorder="0" applyAlignment="0" applyProtection="0">
      <protection locked="0"/>
    </xf>
    <xf numFmtId="0" fontId="4" fillId="22" borderId="57" applyNumberFormat="0" applyFont="0" applyAlignment="0" applyProtection="0"/>
    <xf numFmtId="0" fontId="4" fillId="22" borderId="57" applyNumberFormat="0" applyFont="0" applyAlignment="0" applyProtection="0"/>
    <xf numFmtId="0" fontId="4" fillId="22" borderId="57" applyNumberFormat="0" applyFont="0" applyAlignment="0" applyProtection="0"/>
    <xf numFmtId="0" fontId="4" fillId="15" borderId="57" applyNumberFormat="0" applyFont="0" applyAlignment="0" applyProtection="0">
      <alignment vertical="center"/>
    </xf>
    <xf numFmtId="0" fontId="4" fillId="15" borderId="57" applyNumberFormat="0" applyFont="0" applyAlignment="0" applyProtection="0">
      <alignment vertical="center"/>
    </xf>
    <xf numFmtId="176" fontId="49" fillId="0" borderId="0" applyFont="0" applyFill="0" applyBorder="0" applyAlignment="0" applyProtection="0"/>
    <xf numFmtId="194" fontId="49" fillId="0" borderId="0" applyFont="0" applyFill="0" applyBorder="0" applyAlignment="0" applyProtection="0"/>
    <xf numFmtId="0" fontId="49" fillId="0" borderId="0"/>
    <xf numFmtId="0" fontId="166" fillId="53" borderId="58" applyNumberFormat="0" applyAlignment="0" applyProtection="0"/>
    <xf numFmtId="0" fontId="114" fillId="11" borderId="58" applyNumberFormat="0" applyAlignment="0" applyProtection="0">
      <alignment vertical="center"/>
    </xf>
    <xf numFmtId="40" fontId="37" fillId="11" borderId="0">
      <alignment horizontal="right"/>
    </xf>
    <xf numFmtId="0" fontId="114" fillId="11" borderId="58" applyNumberFormat="0" applyAlignment="0" applyProtection="0">
      <alignment vertical="center"/>
    </xf>
    <xf numFmtId="9" fontId="28" fillId="0" borderId="59" applyFont="0" applyFill="0" applyBorder="0" applyAlignment="0" applyProtection="0"/>
    <xf numFmtId="223" fontId="49" fillId="62" borderId="0" applyNumberFormat="0" applyFont="0" applyBorder="0" applyAlignment="0" applyProtection="0"/>
    <xf numFmtId="14" fontId="53" fillId="0" borderId="0">
      <alignment horizontal="center" wrapText="1"/>
      <protection locked="0"/>
    </xf>
    <xf numFmtId="238" fontId="53" fillId="0" borderId="60" applyFont="0" applyFill="0" applyBorder="0" applyAlignment="0" applyProtection="0">
      <alignment horizontal="right"/>
    </xf>
    <xf numFmtId="9" fontId="9" fillId="0" borderId="0" applyFont="0" applyFill="0" applyBorder="0" applyAlignment="0" applyProtection="0"/>
    <xf numFmtId="10" fontId="9" fillId="0" borderId="0" applyFont="0" applyFill="0" applyBorder="0" applyAlignment="0" applyProtection="0"/>
    <xf numFmtId="237" fontId="49" fillId="0" borderId="0" applyFont="0" applyFill="0" applyBorder="0" applyAlignment="0" applyProtection="0"/>
    <xf numFmtId="243" fontId="49" fillId="0" borderId="0" applyFont="0" applyFill="0" applyBorder="0" applyAlignment="0" applyProtection="0"/>
    <xf numFmtId="10" fontId="49" fillId="0" borderId="0" applyFont="0" applyFill="0" applyBorder="0" applyAlignment="0" applyProtection="0"/>
    <xf numFmtId="10" fontId="49"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73" fontId="216" fillId="0" borderId="0" applyFont="0" applyFill="0" applyBorder="0" applyAlignment="0" applyProtection="0"/>
    <xf numFmtId="289" fontId="216" fillId="0" borderId="0" applyFont="0" applyFill="0" applyBorder="0" applyAlignment="0" applyProtection="0"/>
    <xf numFmtId="9" fontId="57" fillId="0" borderId="0" applyFont="0" applyFill="0" applyBorder="0" applyAlignment="0" applyProtection="0"/>
    <xf numFmtId="9" fontId="49" fillId="0" borderId="0" applyFont="0" applyFill="0" applyBorder="0" applyAlignment="0" applyProtection="0"/>
    <xf numFmtId="10" fontId="57" fillId="0" borderId="0" applyFont="0" applyFill="0" applyBorder="0" applyAlignment="0" applyProtection="0"/>
    <xf numFmtId="10" fontId="49" fillId="0" borderId="0" applyFont="0" applyFill="0" applyBorder="0" applyAlignment="0" applyProtection="0"/>
    <xf numFmtId="9" fontId="50" fillId="0" borderId="0" applyFont="0" applyFill="0" applyBorder="0" applyAlignment="0" applyProtection="0"/>
    <xf numFmtId="261" fontId="135" fillId="0" borderId="0" applyFont="0" applyFill="0" applyBorder="0" applyAlignment="0" applyProtection="0"/>
    <xf numFmtId="9" fontId="57" fillId="0" borderId="61" applyNumberFormat="0" applyBorder="0"/>
    <xf numFmtId="0" fontId="49" fillId="0" borderId="0"/>
    <xf numFmtId="13" fontId="49" fillId="0" borderId="0" applyFont="0" applyFill="0" applyProtection="0"/>
    <xf numFmtId="0" fontId="59" fillId="9" borderId="1"/>
    <xf numFmtId="203" fontId="50" fillId="0" borderId="0" applyFill="0" applyBorder="0" applyAlignment="0"/>
    <xf numFmtId="223" fontId="50" fillId="0" borderId="0" applyFill="0" applyBorder="0" applyAlignment="0"/>
    <xf numFmtId="203" fontId="50" fillId="0" borderId="0" applyFill="0" applyBorder="0" applyAlignment="0"/>
    <xf numFmtId="238" fontId="50" fillId="0" borderId="0" applyFill="0" applyBorder="0" applyAlignment="0"/>
    <xf numFmtId="223" fontId="50" fillId="0" borderId="0" applyFill="0" applyBorder="0" applyAlignment="0"/>
    <xf numFmtId="4" fontId="38" fillId="0" borderId="0">
      <alignment horizontal="right"/>
    </xf>
    <xf numFmtId="225" fontId="89" fillId="0" borderId="0"/>
    <xf numFmtId="0" fontId="57" fillId="0" borderId="0" applyNumberFormat="0" applyFont="0" applyFill="0" applyBorder="0" applyAlignment="0" applyProtection="0">
      <alignment horizontal="left"/>
    </xf>
    <xf numFmtId="15" fontId="57" fillId="0" borderId="0" applyFont="0" applyFill="0" applyBorder="0" applyAlignment="0" applyProtection="0"/>
    <xf numFmtId="4" fontId="57" fillId="0" borderId="0" applyFont="0" applyFill="0" applyBorder="0" applyAlignment="0" applyProtection="0"/>
    <xf numFmtId="0" fontId="55" fillId="0" borderId="44">
      <alignment horizontal="center"/>
    </xf>
    <xf numFmtId="3" fontId="57" fillId="0" borderId="0" applyFont="0" applyFill="0" applyBorder="0" applyAlignment="0" applyProtection="0"/>
    <xf numFmtId="0" fontId="57" fillId="63" borderId="0" applyNumberFormat="0" applyFont="0" applyBorder="0" applyAlignment="0" applyProtection="0"/>
    <xf numFmtId="275" fontId="49" fillId="0" borderId="0"/>
    <xf numFmtId="3" fontId="66" fillId="0" borderId="0"/>
    <xf numFmtId="4" fontId="90" fillId="0" borderId="0">
      <alignment horizontal="right"/>
    </xf>
    <xf numFmtId="230" fontId="4" fillId="0" borderId="0" applyNumberFormat="0" applyFill="0" applyBorder="0" applyAlignment="0" applyProtection="0">
      <alignment horizontal="left"/>
    </xf>
    <xf numFmtId="230" fontId="4" fillId="0" borderId="0" applyNumberFormat="0" applyFill="0" applyBorder="0" applyAlignment="0" applyProtection="0">
      <alignment horizontal="left"/>
    </xf>
    <xf numFmtId="230" fontId="4" fillId="0" borderId="0" applyNumberFormat="0" applyFill="0" applyBorder="0" applyAlignment="0" applyProtection="0">
      <alignment horizontal="left"/>
    </xf>
    <xf numFmtId="230" fontId="4" fillId="0" borderId="0" applyNumberFormat="0" applyFill="0" applyBorder="0" applyAlignment="0" applyProtection="0">
      <alignment horizontal="left"/>
    </xf>
    <xf numFmtId="230" fontId="4" fillId="0" borderId="0" applyNumberFormat="0" applyFill="0" applyBorder="0" applyAlignment="0" applyProtection="0">
      <alignment horizontal="left"/>
    </xf>
    <xf numFmtId="14" fontId="217" fillId="0" borderId="0" applyNumberFormat="0" applyFill="0" applyBorder="0" applyAlignment="0" applyProtection="0">
      <alignment horizontal="left"/>
    </xf>
    <xf numFmtId="41" fontId="9" fillId="0" borderId="0" applyFont="0" applyFill="0" applyBorder="0" applyAlignment="0" applyProtection="0"/>
    <xf numFmtId="0" fontId="26" fillId="0" borderId="0" applyNumberFormat="0" applyFill="0" applyBorder="0" applyAlignment="0" applyProtection="0"/>
    <xf numFmtId="0" fontId="116" fillId="0" borderId="62">
      <alignment horizontal="centerContinuous"/>
    </xf>
    <xf numFmtId="0" fontId="49" fillId="0" borderId="0"/>
    <xf numFmtId="0" fontId="49" fillId="0" borderId="0"/>
    <xf numFmtId="0" fontId="49" fillId="0" borderId="0"/>
    <xf numFmtId="0" fontId="116" fillId="0" borderId="62">
      <alignment horizontal="centerContinuous"/>
    </xf>
    <xf numFmtId="0" fontId="64" fillId="0" borderId="62">
      <alignment horizontal="centerContinuous"/>
    </xf>
    <xf numFmtId="0" fontId="64" fillId="0" borderId="62">
      <alignment horizontal="centerContinuous"/>
    </xf>
    <xf numFmtId="4" fontId="136" fillId="28" borderId="63" applyNumberFormat="0" applyProtection="0">
      <alignment vertical="center"/>
    </xf>
    <xf numFmtId="4" fontId="137" fillId="25" borderId="63" applyNumberFormat="0" applyProtection="0">
      <alignment vertical="center"/>
    </xf>
    <xf numFmtId="4" fontId="136" fillId="25" borderId="63" applyNumberFormat="0" applyProtection="0">
      <alignment horizontal="left" vertical="center" indent="1"/>
    </xf>
    <xf numFmtId="0" fontId="136" fillId="25" borderId="63" applyNumberFormat="0" applyProtection="0">
      <alignment horizontal="left" vertical="top" indent="1"/>
    </xf>
    <xf numFmtId="4" fontId="136" fillId="64" borderId="0" applyNumberFormat="0" applyProtection="0">
      <alignment horizontal="left" vertical="center" indent="1"/>
    </xf>
    <xf numFmtId="4" fontId="82" fillId="12" borderId="63" applyNumberFormat="0" applyProtection="0">
      <alignment horizontal="right" vertical="center"/>
    </xf>
    <xf numFmtId="4" fontId="82" fillId="21" borderId="63" applyNumberFormat="0" applyProtection="0">
      <alignment horizontal="right" vertical="center"/>
    </xf>
    <xf numFmtId="4" fontId="82" fillId="65" borderId="63" applyNumberFormat="0" applyProtection="0">
      <alignment horizontal="right" vertical="center"/>
    </xf>
    <xf numFmtId="4" fontId="82" fillId="27" borderId="63" applyNumberFormat="0" applyProtection="0">
      <alignment horizontal="right" vertical="center"/>
    </xf>
    <xf numFmtId="4" fontId="82" fillId="33" borderId="63" applyNumberFormat="0" applyProtection="0">
      <alignment horizontal="right" vertical="center"/>
    </xf>
    <xf numFmtId="4" fontId="82" fillId="34" borderId="63" applyNumberFormat="0" applyProtection="0">
      <alignment horizontal="right" vertical="center"/>
    </xf>
    <xf numFmtId="4" fontId="82" fillId="66" borderId="63" applyNumberFormat="0" applyProtection="0">
      <alignment horizontal="right" vertical="center"/>
    </xf>
    <xf numFmtId="4" fontId="82" fillId="67" borderId="63" applyNumberFormat="0" applyProtection="0">
      <alignment horizontal="right" vertical="center"/>
    </xf>
    <xf numFmtId="4" fontId="82" fillId="24" borderId="63" applyNumberFormat="0" applyProtection="0">
      <alignment horizontal="right" vertical="center"/>
    </xf>
    <xf numFmtId="4" fontId="136" fillId="68" borderId="64" applyNumberFormat="0" applyProtection="0">
      <alignment horizontal="left" vertical="center" indent="1"/>
    </xf>
    <xf numFmtId="4" fontId="82" fillId="69" borderId="0" applyNumberFormat="0" applyProtection="0">
      <alignment horizontal="left" vertical="center" indent="1"/>
    </xf>
    <xf numFmtId="4" fontId="138" fillId="39" borderId="0" applyNumberFormat="0" applyProtection="0">
      <alignment horizontal="left" vertical="center" indent="1"/>
    </xf>
    <xf numFmtId="4" fontId="82" fillId="70" borderId="63" applyNumberFormat="0" applyProtection="0">
      <alignment horizontal="right" vertical="center"/>
    </xf>
    <xf numFmtId="4" fontId="82" fillId="69" borderId="0" applyNumberFormat="0" applyProtection="0">
      <alignment horizontal="left" vertical="center" indent="1"/>
    </xf>
    <xf numFmtId="4" fontId="82" fillId="64" borderId="0" applyNumberFormat="0" applyProtection="0">
      <alignment horizontal="left" vertical="center" indent="1"/>
    </xf>
    <xf numFmtId="0" fontId="49" fillId="39" borderId="63" applyNumberFormat="0" applyProtection="0">
      <alignment horizontal="left" vertical="center" indent="1"/>
    </xf>
    <xf numFmtId="0" fontId="49" fillId="39" borderId="63" applyNumberFormat="0" applyProtection="0">
      <alignment horizontal="left" vertical="top" indent="1"/>
    </xf>
    <xf numFmtId="0" fontId="49" fillId="64" borderId="63" applyNumberFormat="0" applyProtection="0">
      <alignment horizontal="left" vertical="center" indent="1"/>
    </xf>
    <xf numFmtId="0" fontId="49" fillId="64" borderId="63" applyNumberFormat="0" applyProtection="0">
      <alignment horizontal="left" vertical="top" indent="1"/>
    </xf>
    <xf numFmtId="0" fontId="49" fillId="26" borderId="63" applyNumberFormat="0" applyProtection="0">
      <alignment horizontal="left" vertical="center" indent="1"/>
    </xf>
    <xf numFmtId="0" fontId="49" fillId="26" borderId="63" applyNumberFormat="0" applyProtection="0">
      <alignment horizontal="left" vertical="top" indent="1"/>
    </xf>
    <xf numFmtId="0" fontId="49" fillId="71" borderId="63" applyNumberFormat="0" applyProtection="0">
      <alignment horizontal="left" vertical="center" indent="1"/>
    </xf>
    <xf numFmtId="0" fontId="49" fillId="71" borderId="63" applyNumberFormat="0" applyProtection="0">
      <alignment horizontal="left" vertical="top" indent="1"/>
    </xf>
    <xf numFmtId="4" fontId="82" fillId="15" borderId="63" applyNumberFormat="0" applyProtection="0">
      <alignment vertical="center"/>
    </xf>
    <xf numFmtId="4" fontId="139" fillId="15" borderId="63" applyNumberFormat="0" applyProtection="0">
      <alignment vertical="center"/>
    </xf>
    <xf numFmtId="4" fontId="82" fillId="15" borderId="63" applyNumberFormat="0" applyProtection="0">
      <alignment horizontal="left" vertical="center" indent="1"/>
    </xf>
    <xf numFmtId="0" fontId="82" fillId="15" borderId="63" applyNumberFormat="0" applyProtection="0">
      <alignment horizontal="left" vertical="top" indent="1"/>
    </xf>
    <xf numFmtId="4" fontId="82" fillId="69" borderId="63" applyNumberFormat="0" applyProtection="0">
      <alignment horizontal="right" vertical="center"/>
    </xf>
    <xf numFmtId="4" fontId="139" fillId="69" borderId="63" applyNumberFormat="0" applyProtection="0">
      <alignment horizontal="right" vertical="center"/>
    </xf>
    <xf numFmtId="4" fontId="82" fillId="70" borderId="63" applyNumberFormat="0" applyProtection="0">
      <alignment horizontal="left" vertical="center" indent="1"/>
    </xf>
    <xf numFmtId="0" fontId="82" fillId="64" borderId="63" applyNumberFormat="0" applyProtection="0">
      <alignment horizontal="left" vertical="top" indent="1"/>
    </xf>
    <xf numFmtId="4" fontId="140" fillId="56" borderId="0" applyNumberFormat="0" applyProtection="0">
      <alignment horizontal="left" vertical="center" indent="1"/>
    </xf>
    <xf numFmtId="4" fontId="141" fillId="69" borderId="63" applyNumberFormat="0" applyProtection="0">
      <alignment horizontal="right" vertical="center"/>
    </xf>
    <xf numFmtId="0" fontId="91" fillId="0" borderId="0">
      <alignment horizontal="left"/>
    </xf>
    <xf numFmtId="0" fontId="123" fillId="39" borderId="0" applyNumberFormat="0"/>
    <xf numFmtId="43" fontId="59" fillId="0" borderId="13"/>
    <xf numFmtId="0" fontId="209" fillId="72" borderId="35">
      <protection locked="0"/>
    </xf>
    <xf numFmtId="0" fontId="88" fillId="0" borderId="0"/>
    <xf numFmtId="0" fontId="28" fillId="0" borderId="0"/>
    <xf numFmtId="0" fontId="92" fillId="0" borderId="1">
      <alignment horizontal="center"/>
    </xf>
    <xf numFmtId="0" fontId="49" fillId="0" borderId="0"/>
    <xf numFmtId="0" fontId="92" fillId="0" borderId="0">
      <alignment horizontal="center" vertical="center"/>
    </xf>
    <xf numFmtId="0" fontId="93" fillId="73" borderId="0" applyNumberFormat="0" applyFill="0">
      <alignment horizontal="left" vertical="center"/>
    </xf>
    <xf numFmtId="0" fontId="93" fillId="0" borderId="0" applyNumberFormat="0" applyFill="0">
      <alignment horizontal="left" vertical="center"/>
    </xf>
    <xf numFmtId="0" fontId="63" fillId="0" borderId="0"/>
    <xf numFmtId="40" fontId="94" fillId="0" borderId="0" applyBorder="0">
      <alignment horizontal="right"/>
    </xf>
    <xf numFmtId="38" fontId="213" fillId="0" borderId="0" applyFill="0" applyBorder="0" applyAlignment="0" applyProtection="0"/>
    <xf numFmtId="273" fontId="201" fillId="0" borderId="0" applyFill="0" applyBorder="0" applyAlignment="0" applyProtection="0"/>
    <xf numFmtId="38" fontId="213" fillId="0" borderId="0" applyFill="0" applyBorder="0" applyAlignment="0" applyProtection="0"/>
    <xf numFmtId="180" fontId="38" fillId="0" borderId="0"/>
    <xf numFmtId="0" fontId="209" fillId="72" borderId="35">
      <protection locked="0"/>
    </xf>
    <xf numFmtId="0" fontId="49" fillId="0" borderId="0"/>
    <xf numFmtId="0" fontId="49" fillId="0" borderId="0"/>
    <xf numFmtId="180" fontId="38" fillId="0" borderId="0"/>
    <xf numFmtId="180" fontId="38" fillId="0" borderId="0"/>
    <xf numFmtId="180" fontId="38" fillId="0" borderId="0"/>
    <xf numFmtId="180" fontId="38" fillId="0" borderId="0"/>
    <xf numFmtId="180" fontId="38" fillId="0" borderId="0"/>
    <xf numFmtId="180" fontId="38" fillId="0" borderId="0"/>
    <xf numFmtId="180" fontId="38" fillId="0" borderId="0"/>
    <xf numFmtId="0" fontId="209" fillId="72" borderId="35">
      <protection locked="0"/>
    </xf>
    <xf numFmtId="0" fontId="209" fillId="72" borderId="35">
      <protection locked="0"/>
    </xf>
    <xf numFmtId="180" fontId="38" fillId="0" borderId="0"/>
    <xf numFmtId="180" fontId="38" fillId="0" borderId="0"/>
    <xf numFmtId="180" fontId="38" fillId="0" borderId="0"/>
    <xf numFmtId="180" fontId="38" fillId="0" borderId="0"/>
    <xf numFmtId="49" fontId="82" fillId="0" borderId="0" applyFill="0" applyBorder="0" applyAlignment="0"/>
    <xf numFmtId="244" fontId="49" fillId="0" borderId="0" applyFill="0" applyBorder="0" applyAlignment="0"/>
    <xf numFmtId="245" fontId="49" fillId="0" borderId="0" applyFill="0" applyBorder="0" applyAlignment="0"/>
    <xf numFmtId="290" fontId="49" fillId="0" borderId="0" applyFont="0" applyFill="0" applyBorder="0" applyAlignment="0" applyProtection="0"/>
    <xf numFmtId="18" fontId="204" fillId="0" borderId="0" applyFont="0" applyFill="0" applyBorder="0" applyAlignment="0" applyProtection="0">
      <alignment horizontal="left"/>
    </xf>
    <xf numFmtId="0" fontId="190" fillId="0" borderId="0" applyNumberFormat="0" applyFont="0" applyAlignment="0">
      <alignment horizontal="left"/>
    </xf>
    <xf numFmtId="40" fontId="144" fillId="0" borderId="0"/>
    <xf numFmtId="0" fontId="95" fillId="0" borderId="0">
      <alignment horizont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241" fontId="49" fillId="0" borderId="45">
      <protection locked="0"/>
    </xf>
    <xf numFmtId="205" fontId="49" fillId="0" borderId="0" applyFont="0" applyFill="0" applyBorder="0" applyAlignment="0" applyProtection="0"/>
    <xf numFmtId="206" fontId="49" fillId="0" borderId="0" applyFont="0" applyFill="0" applyBorder="0" applyAlignment="0" applyProtection="0"/>
    <xf numFmtId="0" fontId="28" fillId="0" borderId="2" applyNumberFormat="0" applyFont="0" applyFill="0" applyAlignment="0" applyProtection="0">
      <alignment horizontal="center"/>
    </xf>
    <xf numFmtId="0" fontId="28" fillId="0" borderId="2" applyNumberFormat="0" applyFont="0" applyFill="0" applyProtection="0">
      <alignment horizontal="centerContinuous"/>
    </xf>
    <xf numFmtId="0" fontId="28" fillId="0" borderId="2" applyNumberFormat="0" applyFont="0" applyFill="0" applyProtection="0">
      <alignment horizontal="centerContinuous"/>
    </xf>
    <xf numFmtId="196" fontId="28" fillId="0" borderId="21" applyNumberFormat="0" applyFont="0" applyFill="0" applyAlignment="0" applyProtection="0"/>
    <xf numFmtId="10" fontId="216" fillId="0" borderId="21" applyNumberFormat="0" applyFont="0" applyFill="0" applyAlignment="0" applyProtection="0"/>
    <xf numFmtId="0" fontId="49" fillId="0" borderId="43">
      <protection locked="0"/>
    </xf>
    <xf numFmtId="0" fontId="49" fillId="0" borderId="0">
      <protection locked="0"/>
    </xf>
    <xf numFmtId="9" fontId="218" fillId="0" borderId="0" applyNumberFormat="0" applyFill="0" applyBorder="0" applyAlignment="0">
      <protection locked="0"/>
    </xf>
    <xf numFmtId="49" fontId="129" fillId="0" borderId="43" applyFill="0" applyAlignment="0">
      <alignment horizontal="left"/>
      <protection locked="0"/>
    </xf>
    <xf numFmtId="291" fontId="49" fillId="0" borderId="0" applyFont="0" applyFill="0" applyBorder="0" applyAlignment="0" applyProtection="0"/>
    <xf numFmtId="292" fontId="49" fillId="0" borderId="0" applyFont="0" applyFill="0" applyBorder="0" applyAlignment="0" applyProtection="0"/>
    <xf numFmtId="0" fontId="167" fillId="0" borderId="0" applyNumberFormat="0" applyFill="0" applyBorder="0" applyAlignment="0" applyProtection="0"/>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293" fontId="96" fillId="0" borderId="0" applyFont="0" applyFill="0" applyBorder="0" applyAlignment="0" applyProtection="0"/>
    <xf numFmtId="294" fontId="96" fillId="0" borderId="0" applyFont="0" applyFill="0" applyBorder="0" applyAlignment="0" applyProtection="0"/>
    <xf numFmtId="0" fontId="219" fillId="74" borderId="65">
      <alignment horizontal="center" wrapText="1"/>
    </xf>
    <xf numFmtId="0" fontId="219" fillId="74" borderId="65">
      <alignment horizontal="centerContinuous" wrapText="1"/>
    </xf>
    <xf numFmtId="0" fontId="219" fillId="74" borderId="65">
      <alignment horizontal="center" vertical="justify" textRotation="90"/>
    </xf>
    <xf numFmtId="0" fontId="220" fillId="0" borderId="0">
      <alignment horizontal="center"/>
    </xf>
    <xf numFmtId="0" fontId="221" fillId="11" borderId="0"/>
    <xf numFmtId="0" fontId="202" fillId="75" borderId="0"/>
    <xf numFmtId="0" fontId="221" fillId="11" borderId="0"/>
    <xf numFmtId="262" fontId="49" fillId="0" borderId="0" applyFont="0" applyFill="0" applyBorder="0" applyAlignment="0" applyProtection="0"/>
    <xf numFmtId="295" fontId="183" fillId="0" borderId="5" applyFont="0" applyFill="0" applyBorder="0" applyAlignment="0" applyProtection="0"/>
    <xf numFmtId="295" fontId="183" fillId="0" borderId="5" applyFont="0" applyFill="0" applyBorder="0" applyAlignment="0" applyProtection="0"/>
    <xf numFmtId="9" fontId="96" fillId="0" borderId="0" applyFont="0" applyFill="0" applyBorder="0" applyAlignment="0" applyProtection="0"/>
    <xf numFmtId="0" fontId="28" fillId="0" borderId="0"/>
    <xf numFmtId="0" fontId="77" fillId="0" borderId="0"/>
    <xf numFmtId="194" fontId="28" fillId="0" borderId="0" applyFont="0" applyFill="0" applyBorder="0" applyAlignment="0" applyProtection="0"/>
    <xf numFmtId="176" fontId="28" fillId="0" borderId="0" applyFont="0" applyFill="0" applyBorder="0" applyAlignment="0" applyProtection="0"/>
    <xf numFmtId="41" fontId="49" fillId="0" borderId="0" applyFont="0" applyFill="0" applyBorder="0" applyAlignment="0" applyProtection="0"/>
    <xf numFmtId="9" fontId="2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xf numFmtId="9" fontId="16"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4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9" fillId="0" borderId="0" applyFont="0" applyFill="0" applyBorder="0" applyAlignment="0" applyProtection="0"/>
    <xf numFmtId="9" fontId="4" fillId="0" borderId="0" applyFont="0" applyFill="0" applyBorder="0" applyAlignment="0" applyProtection="0"/>
    <xf numFmtId="9" fontId="52" fillId="0" borderId="0" applyFont="0" applyFill="0" applyBorder="0" applyAlignment="0" applyProtection="0">
      <alignment vertical="center"/>
    </xf>
    <xf numFmtId="9" fontId="52" fillId="0" borderId="0" applyFont="0" applyFill="0" applyBorder="0" applyAlignment="0" applyProtection="0">
      <alignment vertical="center"/>
    </xf>
    <xf numFmtId="9" fontId="4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9" fillId="0" borderId="0" applyFont="0" applyFill="0" applyBorder="0" applyAlignment="0" applyProtection="0"/>
    <xf numFmtId="9" fontId="6"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alignment vertical="center"/>
    </xf>
    <xf numFmtId="207" fontId="67" fillId="0" borderId="0" applyFont="0" applyFill="0" applyBorder="0" applyAlignment="0" applyProtection="0"/>
    <xf numFmtId="208" fontId="67" fillId="0" borderId="0" applyFont="0" applyFill="0" applyBorder="0" applyAlignment="0" applyProtection="0"/>
    <xf numFmtId="0" fontId="4" fillId="22" borderId="57" applyNumberFormat="0" applyFont="0" applyAlignment="0" applyProtection="0"/>
    <xf numFmtId="0" fontId="4" fillId="22" borderId="57" applyNumberFormat="0" applyFont="0" applyAlignment="0" applyProtection="0"/>
    <xf numFmtId="0" fontId="4" fillId="22" borderId="57" applyNumberFormat="0" applyFont="0" applyAlignment="0" applyProtection="0"/>
    <xf numFmtId="0" fontId="97" fillId="0" borderId="48" applyNumberFormat="0" applyFill="0" applyAlignment="0" applyProtection="0">
      <alignment vertical="center"/>
    </xf>
    <xf numFmtId="0" fontId="215" fillId="0" borderId="49" applyNumberFormat="0" applyFill="0" applyAlignment="0" applyProtection="0">
      <alignment vertical="center"/>
    </xf>
    <xf numFmtId="0" fontId="215" fillId="0" borderId="49" applyNumberFormat="0" applyFill="0" applyAlignment="0" applyProtection="0">
      <alignment vertical="center"/>
    </xf>
    <xf numFmtId="0" fontId="97" fillId="0" borderId="48" applyNumberFormat="0" applyFill="0" applyAlignment="0" applyProtection="0">
      <alignment vertical="center"/>
    </xf>
    <xf numFmtId="0" fontId="97" fillId="0" borderId="48" applyNumberFormat="0" applyFill="0" applyAlignment="0" applyProtection="0">
      <alignment vertical="center"/>
    </xf>
    <xf numFmtId="0" fontId="97" fillId="0" borderId="48" applyNumberFormat="0" applyFill="0" applyAlignment="0" applyProtection="0">
      <alignment vertical="center"/>
    </xf>
    <xf numFmtId="0" fontId="97" fillId="0" borderId="48" applyNumberFormat="0" applyFill="0" applyAlignment="0" applyProtection="0">
      <alignment vertical="center"/>
    </xf>
    <xf numFmtId="0" fontId="215" fillId="0" borderId="66" applyNumberFormat="0" applyFill="0" applyAlignment="0" applyProtection="0">
      <alignment vertical="center"/>
    </xf>
    <xf numFmtId="0" fontId="68" fillId="0" borderId="0" applyNumberFormat="0" applyFill="0" applyBorder="0" applyAlignment="0" applyProtection="0">
      <alignment vertical="center"/>
    </xf>
    <xf numFmtId="0" fontId="98" fillId="0" borderId="50" applyNumberFormat="0" applyFill="0" applyAlignment="0" applyProtection="0">
      <alignment vertical="center"/>
    </xf>
    <xf numFmtId="0" fontId="211" fillId="0" borderId="50" applyNumberFormat="0" applyFill="0" applyAlignment="0" applyProtection="0">
      <alignment vertical="center"/>
    </xf>
    <xf numFmtId="0" fontId="211" fillId="0" borderId="50" applyNumberFormat="0" applyFill="0" applyAlignment="0" applyProtection="0">
      <alignment vertical="center"/>
    </xf>
    <xf numFmtId="0" fontId="98" fillId="0" borderId="50" applyNumberFormat="0" applyFill="0" applyAlignment="0" applyProtection="0">
      <alignment vertical="center"/>
    </xf>
    <xf numFmtId="0" fontId="98" fillId="0" borderId="50" applyNumberFormat="0" applyFill="0" applyAlignment="0" applyProtection="0">
      <alignment vertical="center"/>
    </xf>
    <xf numFmtId="0" fontId="98" fillId="0" borderId="50" applyNumberFormat="0" applyFill="0" applyAlignment="0" applyProtection="0">
      <alignment vertical="center"/>
    </xf>
    <xf numFmtId="0" fontId="98" fillId="0" borderId="50" applyNumberFormat="0" applyFill="0" applyAlignment="0" applyProtection="0">
      <alignment vertical="center"/>
    </xf>
    <xf numFmtId="0" fontId="211" fillId="0" borderId="67" applyNumberFormat="0" applyFill="0" applyAlignment="0" applyProtection="0">
      <alignment vertical="center"/>
    </xf>
    <xf numFmtId="0" fontId="99" fillId="0" borderId="51" applyNumberFormat="0" applyFill="0" applyAlignment="0" applyProtection="0">
      <alignment vertical="center"/>
    </xf>
    <xf numFmtId="0" fontId="203" fillId="0" borderId="52" applyNumberFormat="0" applyFill="0" applyAlignment="0" applyProtection="0">
      <alignment vertical="center"/>
    </xf>
    <xf numFmtId="0" fontId="203" fillId="0" borderId="52" applyNumberFormat="0" applyFill="0" applyAlignment="0" applyProtection="0">
      <alignment vertical="center"/>
    </xf>
    <xf numFmtId="0" fontId="99" fillId="0" borderId="51" applyNumberFormat="0" applyFill="0" applyAlignment="0" applyProtection="0">
      <alignment vertical="center"/>
    </xf>
    <xf numFmtId="0" fontId="99" fillId="0" borderId="51" applyNumberFormat="0" applyFill="0" applyAlignment="0" applyProtection="0">
      <alignment vertical="center"/>
    </xf>
    <xf numFmtId="0" fontId="99" fillId="0" borderId="51" applyNumberFormat="0" applyFill="0" applyAlignment="0" applyProtection="0">
      <alignment vertical="center"/>
    </xf>
    <xf numFmtId="0" fontId="99" fillId="0" borderId="51" applyNumberFormat="0" applyFill="0" applyAlignment="0" applyProtection="0">
      <alignment vertical="center"/>
    </xf>
    <xf numFmtId="0" fontId="203" fillId="0" borderId="68" applyNumberFormat="0" applyFill="0" applyAlignment="0" applyProtection="0">
      <alignment vertical="center"/>
    </xf>
    <xf numFmtId="0" fontId="99" fillId="0" borderId="0" applyNumberFormat="0" applyFill="0" applyBorder="0" applyAlignment="0" applyProtection="0">
      <alignment vertical="center"/>
    </xf>
    <xf numFmtId="0" fontId="203" fillId="0" borderId="0" applyNumberFormat="0" applyFill="0" applyBorder="0" applyAlignment="0" applyProtection="0">
      <alignment vertical="center"/>
    </xf>
    <xf numFmtId="0" fontId="203"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68" fillId="0" borderId="0" applyNumberFormat="0" applyFill="0" applyBorder="0" applyAlignment="0" applyProtection="0"/>
    <xf numFmtId="0" fontId="169" fillId="0" borderId="48" applyNumberFormat="0" applyFill="0" applyAlignment="0" applyProtection="0"/>
    <xf numFmtId="0" fontId="170" fillId="0" borderId="50" applyNumberFormat="0" applyFill="0" applyAlignment="0" applyProtection="0"/>
    <xf numFmtId="0" fontId="171" fillId="0" borderId="51" applyNumberFormat="0" applyFill="0" applyAlignment="0" applyProtection="0"/>
    <xf numFmtId="0" fontId="171" fillId="0" borderId="0" applyNumberFormat="0" applyFill="0" applyBorder="0" applyAlignment="0" applyProtection="0"/>
    <xf numFmtId="4" fontId="101" fillId="0" borderId="0">
      <alignment horizontal="right"/>
    </xf>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12" borderId="0" applyNumberFormat="0" applyBorder="0" applyAlignment="0" applyProtection="0">
      <alignment vertical="center"/>
    </xf>
    <xf numFmtId="0" fontId="124" fillId="52" borderId="0" applyNumberFormat="0" applyBorder="0" applyAlignment="0" applyProtection="0">
      <alignment vertical="center"/>
    </xf>
    <xf numFmtId="0" fontId="124" fillId="5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6"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146" fillId="32" borderId="0" applyNumberFormat="0" applyBorder="0" applyAlignment="0" applyProtection="0">
      <alignment vertical="center"/>
    </xf>
    <xf numFmtId="0" fontId="146" fillId="30" borderId="0" applyNumberFormat="0" applyBorder="0" applyAlignment="0" applyProtection="0">
      <alignment vertical="center"/>
    </xf>
    <xf numFmtId="0" fontId="146" fillId="30" borderId="0" applyNumberFormat="0" applyBorder="0" applyAlignment="0" applyProtection="0">
      <alignment vertical="center"/>
    </xf>
    <xf numFmtId="0" fontId="69" fillId="12" borderId="0" applyNumberFormat="0" applyBorder="0" applyAlignment="0" applyProtection="0">
      <alignment vertical="center"/>
    </xf>
    <xf numFmtId="0" fontId="102" fillId="27" borderId="0" applyNumberFormat="0" applyBorder="0" applyAlignment="0" applyProtection="0">
      <alignment vertical="center"/>
    </xf>
    <xf numFmtId="0" fontId="102" fillId="27" borderId="0" applyNumberFormat="0" applyBorder="0" applyAlignment="0" applyProtection="0">
      <alignment vertical="center"/>
    </xf>
    <xf numFmtId="0" fontId="102" fillId="27" borderId="0" applyNumberFormat="0" applyBorder="0" applyAlignment="0" applyProtection="0">
      <alignment vertical="center"/>
    </xf>
    <xf numFmtId="0" fontId="102" fillId="27" borderId="0" applyNumberFormat="0" applyBorder="0" applyAlignment="0" applyProtection="0">
      <alignment vertical="center"/>
    </xf>
    <xf numFmtId="0" fontId="102" fillId="27" borderId="0" applyNumberFormat="0" applyBorder="0" applyAlignment="0" applyProtection="0">
      <alignment vertical="center"/>
    </xf>
    <xf numFmtId="0" fontId="102" fillId="27" borderId="0" applyNumberFormat="0" applyBorder="0" applyAlignment="0" applyProtection="0">
      <alignment vertical="center"/>
    </xf>
    <xf numFmtId="0" fontId="102" fillId="27" borderId="0" applyNumberFormat="0" applyBorder="0" applyAlignment="0" applyProtection="0">
      <alignment vertical="center"/>
    </xf>
    <xf numFmtId="0" fontId="102" fillId="27" borderId="0" applyNumberFormat="0" applyBorder="0" applyAlignment="0" applyProtection="0">
      <alignment vertical="center"/>
    </xf>
    <xf numFmtId="0" fontId="146" fillId="32" borderId="0" applyNumberFormat="0" applyBorder="0" applyAlignment="0" applyProtection="0">
      <alignment vertical="center"/>
    </xf>
    <xf numFmtId="0" fontId="146" fillId="30" borderId="0" applyNumberFormat="0" applyBorder="0" applyAlignment="0" applyProtection="0">
      <alignment vertical="center"/>
    </xf>
    <xf numFmtId="0" fontId="146" fillId="30" borderId="0" applyNumberFormat="0" applyBorder="0" applyAlignment="0" applyProtection="0">
      <alignment vertical="center"/>
    </xf>
    <xf numFmtId="0" fontId="69" fillId="52" borderId="0" applyNumberFormat="0" applyBorder="0" applyAlignment="0" applyProtection="0">
      <alignment vertical="center"/>
    </xf>
    <xf numFmtId="0" fontId="125" fillId="12" borderId="0" applyNumberFormat="0" applyBorder="0" applyAlignment="0" applyProtection="0">
      <alignment vertical="center"/>
    </xf>
    <xf numFmtId="0" fontId="125"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146" fillId="32" borderId="0" applyNumberFormat="0" applyBorder="0" applyAlignment="0" applyProtection="0">
      <alignment vertical="center"/>
    </xf>
    <xf numFmtId="0" fontId="146" fillId="30" borderId="0" applyNumberFormat="0" applyBorder="0" applyAlignment="0" applyProtection="0">
      <alignment vertical="center"/>
    </xf>
    <xf numFmtId="0" fontId="146" fillId="30"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146" fillId="32" borderId="0" applyNumberFormat="0" applyBorder="0" applyAlignment="0" applyProtection="0">
      <alignment vertical="center"/>
    </xf>
    <xf numFmtId="0" fontId="146" fillId="30" borderId="0" applyNumberFormat="0" applyBorder="0" applyAlignment="0" applyProtection="0">
      <alignment vertical="center"/>
    </xf>
    <xf numFmtId="0" fontId="146" fillId="30"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146" fillId="32" borderId="0" applyNumberFormat="0" applyBorder="0" applyAlignment="0" applyProtection="0">
      <alignment vertical="center"/>
    </xf>
    <xf numFmtId="0" fontId="146" fillId="30" borderId="0" applyNumberFormat="0" applyBorder="0" applyAlignment="0" applyProtection="0">
      <alignment vertical="center"/>
    </xf>
    <xf numFmtId="0" fontId="146" fillId="30"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81" fillId="76" borderId="0" applyNumberFormat="0" applyBorder="0" applyAlignment="0" applyProtection="0">
      <alignment vertical="center"/>
    </xf>
    <xf numFmtId="0" fontId="102" fillId="27" borderId="0" applyNumberFormat="0" applyBorder="0" applyAlignment="0" applyProtection="0">
      <alignment vertical="center"/>
    </xf>
    <xf numFmtId="0" fontId="102" fillId="77" borderId="0" applyNumberFormat="0" applyBorder="0" applyAlignment="0" applyProtection="0">
      <alignment vertical="center"/>
    </xf>
    <xf numFmtId="0" fontId="102" fillId="77" borderId="0" applyNumberFormat="0" applyBorder="0" applyAlignment="0" applyProtection="0">
      <alignment vertical="center"/>
    </xf>
    <xf numFmtId="0" fontId="102" fillId="27" borderId="0" applyNumberFormat="0" applyBorder="0" applyAlignment="0" applyProtection="0">
      <alignment vertical="center"/>
    </xf>
    <xf numFmtId="0" fontId="102" fillId="34" borderId="0" applyNumberFormat="0" applyBorder="0" applyAlignment="0" applyProtection="0">
      <alignment vertical="center"/>
    </xf>
    <xf numFmtId="0" fontId="102" fillId="78" borderId="0" applyNumberFormat="0" applyBorder="0" applyAlignment="0" applyProtection="0">
      <alignment vertical="center"/>
    </xf>
    <xf numFmtId="0" fontId="102" fillId="78" borderId="0" applyNumberFormat="0" applyBorder="0" applyAlignment="0" applyProtection="0">
      <alignment vertical="center"/>
    </xf>
    <xf numFmtId="0" fontId="231" fillId="16" borderId="0" applyNumberFormat="0" applyBorder="0" applyAlignment="0" applyProtection="0">
      <alignment vertical="center"/>
    </xf>
    <xf numFmtId="0" fontId="69" fillId="12" borderId="0" applyNumberFormat="0" applyBorder="0" applyAlignment="0" applyProtection="0">
      <alignment vertical="center"/>
    </xf>
    <xf numFmtId="0" fontId="231" fillId="74" borderId="0" applyNumberFormat="0" applyBorder="0" applyAlignment="0" applyProtection="0">
      <alignment vertical="center"/>
    </xf>
    <xf numFmtId="0" fontId="102" fillId="27" borderId="0" applyNumberFormat="0" applyBorder="0" applyAlignment="0" applyProtection="0">
      <alignment vertical="center"/>
    </xf>
    <xf numFmtId="0" fontId="102" fillId="27"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210" fillId="52" borderId="0" applyNumberFormat="0" applyBorder="0" applyAlignment="0" applyProtection="0">
      <alignment vertical="center"/>
    </xf>
    <xf numFmtId="0" fontId="69" fillId="52" borderId="0" applyNumberFormat="0" applyBorder="0" applyAlignment="0" applyProtection="0">
      <alignment vertical="center"/>
    </xf>
    <xf numFmtId="0" fontId="81" fillId="76" borderId="0" applyNumberFormat="0" applyBorder="0" applyAlignment="0" applyProtection="0">
      <alignment vertical="center"/>
    </xf>
    <xf numFmtId="0" fontId="102" fillId="27" borderId="0" applyNumberFormat="0" applyBorder="0" applyAlignment="0" applyProtection="0">
      <alignment vertical="center"/>
    </xf>
    <xf numFmtId="0" fontId="102" fillId="27"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125" fillId="12" borderId="0" applyNumberFormat="0" applyBorder="0" applyAlignment="0" applyProtection="0">
      <alignment vertical="center"/>
    </xf>
    <xf numFmtId="0" fontId="102" fillId="27"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124" fillId="12" borderId="0" applyNumberFormat="0" applyBorder="0" applyAlignment="0" applyProtection="0">
      <alignment vertical="center"/>
    </xf>
    <xf numFmtId="0" fontId="69" fillId="16" borderId="0" applyNumberFormat="0" applyBorder="0" applyAlignment="0" applyProtection="0">
      <alignment vertical="center"/>
    </xf>
    <xf numFmtId="0" fontId="69" fillId="74" borderId="0" applyNumberFormat="0" applyBorder="0" applyAlignment="0" applyProtection="0">
      <alignment vertical="center"/>
    </xf>
    <xf numFmtId="0" fontId="69" fillId="74" borderId="0" applyNumberFormat="0" applyBorder="0" applyAlignment="0" applyProtection="0">
      <alignment vertical="center"/>
    </xf>
    <xf numFmtId="0" fontId="69" fillId="16" borderId="0" applyNumberFormat="0" applyBorder="0" applyAlignment="0" applyProtection="0">
      <alignment vertical="center"/>
    </xf>
    <xf numFmtId="0" fontId="69" fillId="74" borderId="0" applyNumberFormat="0" applyBorder="0" applyAlignment="0" applyProtection="0">
      <alignment vertical="center"/>
    </xf>
    <xf numFmtId="0" fontId="69" fillId="74"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125" fillId="12" borderId="0" applyNumberFormat="0" applyBorder="0" applyAlignment="0" applyProtection="0">
      <alignment vertical="center"/>
    </xf>
    <xf numFmtId="0" fontId="125" fillId="12" borderId="0" applyNumberFormat="0" applyBorder="0" applyAlignment="0" applyProtection="0">
      <alignment vertical="center"/>
    </xf>
    <xf numFmtId="0" fontId="125" fillId="52" borderId="0" applyNumberFormat="0" applyBorder="0" applyAlignment="0" applyProtection="0">
      <alignment vertical="center"/>
    </xf>
    <xf numFmtId="0" fontId="125" fillId="52" borderId="0" applyNumberFormat="0" applyBorder="0" applyAlignment="0" applyProtection="0">
      <alignment vertical="center"/>
    </xf>
    <xf numFmtId="0" fontId="125" fillId="12" borderId="0" applyNumberFormat="0" applyBorder="0" applyAlignment="0" applyProtection="0">
      <alignment vertical="center"/>
    </xf>
    <xf numFmtId="0" fontId="125" fillId="52" borderId="0" applyNumberFormat="0" applyBorder="0" applyAlignment="0" applyProtection="0">
      <alignment vertical="center"/>
    </xf>
    <xf numFmtId="0" fontId="125" fillId="52" borderId="0" applyNumberFormat="0" applyBorder="0" applyAlignment="0" applyProtection="0">
      <alignment vertical="center"/>
    </xf>
    <xf numFmtId="0" fontId="125" fillId="12" borderId="0" applyNumberFormat="0" applyBorder="0" applyAlignment="0" applyProtection="0">
      <alignment vertical="center"/>
    </xf>
    <xf numFmtId="0" fontId="125" fillId="52" borderId="0" applyNumberFormat="0" applyBorder="0" applyAlignment="0" applyProtection="0">
      <alignment vertical="center"/>
    </xf>
    <xf numFmtId="0" fontId="125" fillId="52" borderId="0" applyNumberFormat="0" applyBorder="0" applyAlignment="0" applyProtection="0">
      <alignment vertical="center"/>
    </xf>
    <xf numFmtId="0" fontId="125" fillId="12" borderId="0" applyNumberFormat="0" applyBorder="0" applyAlignment="0" applyProtection="0">
      <alignment vertical="center"/>
    </xf>
    <xf numFmtId="0" fontId="125" fillId="52" borderId="0" applyNumberFormat="0" applyBorder="0" applyAlignment="0" applyProtection="0">
      <alignment vertical="center"/>
    </xf>
    <xf numFmtId="0" fontId="125" fillId="52" borderId="0" applyNumberFormat="0" applyBorder="0" applyAlignment="0" applyProtection="0">
      <alignment vertical="center"/>
    </xf>
    <xf numFmtId="0" fontId="125" fillId="52" borderId="0" applyNumberFormat="0" applyBorder="0" applyAlignment="0" applyProtection="0">
      <alignment vertical="center"/>
    </xf>
    <xf numFmtId="0" fontId="125"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102" fillId="27"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102" fillId="27" borderId="0" applyNumberFormat="0" applyBorder="0" applyAlignment="0" applyProtection="0">
      <alignment vertical="center"/>
    </xf>
    <xf numFmtId="0" fontId="69" fillId="12" borderId="0" applyNumberFormat="0" applyBorder="0" applyAlignment="0" applyProtection="0">
      <alignment vertical="center"/>
    </xf>
    <xf numFmtId="0" fontId="102" fillId="27" borderId="0" applyNumberFormat="0" applyBorder="0" applyAlignment="0" applyProtection="0">
      <alignment vertical="center"/>
    </xf>
    <xf numFmtId="0" fontId="102" fillId="27" borderId="0" applyNumberFormat="0" applyBorder="0" applyAlignment="0" applyProtection="0">
      <alignment vertical="center"/>
    </xf>
    <xf numFmtId="0" fontId="69" fillId="12" borderId="0" applyNumberFormat="0" applyBorder="0" applyAlignment="0" applyProtection="0">
      <alignment vertical="center"/>
    </xf>
    <xf numFmtId="0" fontId="69" fillId="16" borderId="0" applyNumberFormat="0" applyBorder="0" applyAlignment="0" applyProtection="0">
      <alignment vertical="center"/>
    </xf>
    <xf numFmtId="0" fontId="69" fillId="74" borderId="0" applyNumberFormat="0" applyBorder="0" applyAlignment="0" applyProtection="0">
      <alignment vertical="center"/>
    </xf>
    <xf numFmtId="0" fontId="69" fillId="74"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70" fillId="79" borderId="0" applyNumberFormat="0" applyBorder="0" applyAlignment="0" applyProtection="0"/>
    <xf numFmtId="0" fontId="70" fillId="52" borderId="0" applyNumberFormat="0" applyBorder="0" applyAlignment="0" applyProtection="0"/>
    <xf numFmtId="0" fontId="70" fillId="79" borderId="0" applyNumberFormat="0" applyBorder="0" applyAlignment="0" applyProtection="0"/>
    <xf numFmtId="0" fontId="70" fillId="79" borderId="0" applyNumberFormat="0" applyBorder="0" applyAlignment="0" applyProtection="0"/>
    <xf numFmtId="0" fontId="70" fillId="79" borderId="0" applyNumberFormat="0" applyBorder="0" applyAlignment="0" applyProtection="0"/>
    <xf numFmtId="0" fontId="70" fillId="79" borderId="0" applyNumberFormat="0" applyBorder="0" applyAlignment="0" applyProtection="0"/>
    <xf numFmtId="0" fontId="70" fillId="79" borderId="0" applyNumberFormat="0" applyBorder="0" applyAlignment="0" applyProtection="0"/>
    <xf numFmtId="0" fontId="70" fillId="79" borderId="0" applyNumberFormat="0" applyBorder="0" applyAlignment="0" applyProtection="0"/>
    <xf numFmtId="0" fontId="70" fillId="79" borderId="0" applyNumberFormat="0" applyBorder="0" applyAlignment="0" applyProtection="0"/>
    <xf numFmtId="0" fontId="70" fillId="79" borderId="0" applyNumberFormat="0" applyBorder="0" applyAlignment="0" applyProtection="0"/>
    <xf numFmtId="0" fontId="70" fillId="79" borderId="0" applyNumberFormat="0" applyBorder="0" applyAlignment="0" applyProtection="0"/>
    <xf numFmtId="0" fontId="70" fillId="79" borderId="0" applyNumberFormat="0" applyBorder="0" applyAlignment="0" applyProtection="0"/>
    <xf numFmtId="0" fontId="70" fillId="79" borderId="0" applyNumberFormat="0" applyBorder="0" applyAlignment="0" applyProtection="0"/>
    <xf numFmtId="0" fontId="70" fillId="79"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69" fillId="16" borderId="0" applyNumberFormat="0" applyBorder="0" applyAlignment="0" applyProtection="0">
      <alignment vertical="center"/>
    </xf>
    <xf numFmtId="0" fontId="69" fillId="74" borderId="0" applyNumberFormat="0" applyBorder="0" applyAlignment="0" applyProtection="0">
      <alignment vertical="center"/>
    </xf>
    <xf numFmtId="0" fontId="69" fillId="74" borderId="0" applyNumberFormat="0" applyBorder="0" applyAlignment="0" applyProtection="0">
      <alignment vertical="center"/>
    </xf>
    <xf numFmtId="0" fontId="69" fillId="16" borderId="0" applyNumberFormat="0" applyBorder="0" applyAlignment="0" applyProtection="0">
      <alignment vertical="center"/>
    </xf>
    <xf numFmtId="0" fontId="69" fillId="74" borderId="0" applyNumberFormat="0" applyBorder="0" applyAlignment="0" applyProtection="0">
      <alignment vertical="center"/>
    </xf>
    <xf numFmtId="0" fontId="69" fillId="74"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125" fillId="5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102" fillId="27" borderId="0" applyNumberFormat="0" applyBorder="0" applyAlignment="0" applyProtection="0">
      <alignment vertical="center"/>
    </xf>
    <xf numFmtId="0" fontId="69" fillId="16"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102" fillId="27" borderId="0" applyNumberFormat="0" applyBorder="0" applyAlignment="0" applyProtection="0">
      <alignment vertical="center"/>
    </xf>
    <xf numFmtId="0" fontId="69" fillId="12" borderId="0" applyNumberFormat="0" applyBorder="0" applyAlignment="0" applyProtection="0">
      <alignment vertical="center"/>
    </xf>
    <xf numFmtId="0" fontId="102" fillId="27" borderId="0" applyNumberFormat="0" applyBorder="0" applyAlignment="0" applyProtection="0">
      <alignment vertical="center"/>
    </xf>
    <xf numFmtId="0" fontId="69" fillId="12" borderId="0" applyNumberFormat="0" applyBorder="0" applyAlignment="0" applyProtection="0">
      <alignment vertical="center"/>
    </xf>
    <xf numFmtId="0" fontId="125" fillId="52" borderId="0" applyNumberFormat="0" applyBorder="0" applyAlignment="0" applyProtection="0">
      <alignment vertical="center"/>
    </xf>
    <xf numFmtId="0" fontId="102" fillId="27" borderId="0" applyNumberFormat="0" applyBorder="0" applyAlignment="0" applyProtection="0">
      <alignment vertical="center"/>
    </xf>
    <xf numFmtId="0" fontId="102" fillId="27"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16" borderId="0" applyNumberFormat="0" applyBorder="0" applyAlignment="0" applyProtection="0">
      <alignment vertical="center"/>
    </xf>
    <xf numFmtId="0" fontId="69" fillId="74" borderId="0" applyNumberFormat="0" applyBorder="0" applyAlignment="0" applyProtection="0">
      <alignment vertical="center"/>
    </xf>
    <xf numFmtId="0" fontId="69" fillId="74" borderId="0" applyNumberFormat="0" applyBorder="0" applyAlignment="0" applyProtection="0">
      <alignment vertical="center"/>
    </xf>
    <xf numFmtId="0" fontId="69" fillId="16" borderId="0" applyNumberFormat="0" applyBorder="0" applyAlignment="0" applyProtection="0">
      <alignment vertical="center"/>
    </xf>
    <xf numFmtId="0" fontId="69" fillId="74" borderId="0" applyNumberFormat="0" applyBorder="0" applyAlignment="0" applyProtection="0">
      <alignment vertical="center"/>
    </xf>
    <xf numFmtId="0" fontId="69" fillId="74" borderId="0" applyNumberFormat="0" applyBorder="0" applyAlignment="0" applyProtection="0">
      <alignment vertical="center"/>
    </xf>
    <xf numFmtId="0" fontId="69" fillId="16" borderId="0" applyNumberFormat="0" applyBorder="0" applyAlignment="0" applyProtection="0">
      <alignment vertical="center"/>
    </xf>
    <xf numFmtId="0" fontId="69" fillId="74" borderId="0" applyNumberFormat="0" applyBorder="0" applyAlignment="0" applyProtection="0">
      <alignment vertical="center"/>
    </xf>
    <xf numFmtId="0" fontId="69" fillId="74" borderId="0" applyNumberFormat="0" applyBorder="0" applyAlignment="0" applyProtection="0">
      <alignment vertical="center"/>
    </xf>
    <xf numFmtId="0" fontId="69" fillId="16" borderId="0" applyNumberFormat="0" applyBorder="0" applyAlignment="0" applyProtection="0">
      <alignment vertical="center"/>
    </xf>
    <xf numFmtId="0" fontId="69" fillId="74" borderId="0" applyNumberFormat="0" applyBorder="0" applyAlignment="0" applyProtection="0">
      <alignment vertical="center"/>
    </xf>
    <xf numFmtId="0" fontId="69" fillId="74"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9" fillId="74" borderId="0" applyNumberFormat="0" applyBorder="0" applyAlignment="0" applyProtection="0">
      <alignment vertical="center"/>
    </xf>
    <xf numFmtId="0" fontId="69" fillId="74" borderId="0" applyNumberFormat="0" applyBorder="0" applyAlignment="0" applyProtection="0">
      <alignment vertical="center"/>
    </xf>
    <xf numFmtId="0" fontId="69" fillId="16" borderId="0" applyNumberFormat="0" applyBorder="0" applyAlignment="0" applyProtection="0">
      <alignment vertical="center"/>
    </xf>
    <xf numFmtId="0" fontId="69" fillId="74" borderId="0" applyNumberFormat="0" applyBorder="0" applyAlignment="0" applyProtection="0">
      <alignment vertical="center"/>
    </xf>
    <xf numFmtId="0" fontId="69" fillId="74" borderId="0" applyNumberFormat="0" applyBorder="0" applyAlignment="0" applyProtection="0">
      <alignment vertical="center"/>
    </xf>
    <xf numFmtId="0" fontId="102" fillId="27" borderId="0" applyNumberFormat="0" applyBorder="0" applyAlignment="0" applyProtection="0">
      <alignment vertical="center"/>
    </xf>
    <xf numFmtId="0" fontId="69" fillId="1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69" fillId="52" borderId="0" applyNumberFormat="0" applyBorder="0" applyAlignment="0" applyProtection="0">
      <alignment vertical="center"/>
    </xf>
    <xf numFmtId="0" fontId="52" fillId="0" borderId="0">
      <alignment vertical="center"/>
    </xf>
    <xf numFmtId="0" fontId="52" fillId="0" borderId="0">
      <alignment vertical="center"/>
    </xf>
    <xf numFmtId="0" fontId="5" fillId="0" borderId="0">
      <alignment vertical="center"/>
    </xf>
    <xf numFmtId="0" fontId="5" fillId="0" borderId="0">
      <alignment vertical="center"/>
    </xf>
    <xf numFmtId="0" fontId="52" fillId="0" borderId="0">
      <alignment vertical="center"/>
    </xf>
    <xf numFmtId="0" fontId="48" fillId="0" borderId="0">
      <alignment vertical="center"/>
    </xf>
    <xf numFmtId="0" fontId="4" fillId="0" borderId="0"/>
    <xf numFmtId="0" fontId="5" fillId="0" borderId="0">
      <alignment vertical="center"/>
    </xf>
    <xf numFmtId="0" fontId="5" fillId="0" borderId="0">
      <alignment vertical="center"/>
    </xf>
    <xf numFmtId="0" fontId="52"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2"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2" fillId="0" borderId="0">
      <alignment vertical="center"/>
    </xf>
    <xf numFmtId="0" fontId="48" fillId="0" borderId="0">
      <alignment vertical="center"/>
    </xf>
    <xf numFmtId="0" fontId="48" fillId="0" borderId="0">
      <alignment vertical="center"/>
    </xf>
    <xf numFmtId="0" fontId="5" fillId="0" borderId="0"/>
    <xf numFmtId="0" fontId="5" fillId="0" borderId="0"/>
    <xf numFmtId="0" fontId="5" fillId="0" borderId="0"/>
    <xf numFmtId="0" fontId="5" fillId="0" borderId="0"/>
    <xf numFmtId="0" fontId="5" fillId="0" borderId="0"/>
    <xf numFmtId="0" fontId="48" fillId="0" borderId="0">
      <alignment vertical="center"/>
    </xf>
    <xf numFmtId="0" fontId="48" fillId="0" borderId="0">
      <alignment vertical="center"/>
    </xf>
    <xf numFmtId="0" fontId="48" fillId="0" borderId="0">
      <alignment vertical="center"/>
    </xf>
    <xf numFmtId="0" fontId="16" fillId="0" borderId="0">
      <alignment vertical="center"/>
    </xf>
    <xf numFmtId="0" fontId="16" fillId="0" borderId="0">
      <alignment vertical="center"/>
    </xf>
    <xf numFmtId="0" fontId="48"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8" fillId="0" borderId="0">
      <alignment vertical="center"/>
    </xf>
    <xf numFmtId="0" fontId="4" fillId="0" borderId="0"/>
    <xf numFmtId="0" fontId="35" fillId="0" borderId="0">
      <alignment vertical="center"/>
    </xf>
    <xf numFmtId="0" fontId="35" fillId="0" borderId="0">
      <alignment vertical="center"/>
    </xf>
    <xf numFmtId="0" fontId="4" fillId="0" borderId="0"/>
    <xf numFmtId="0" fontId="16" fillId="0" borderId="0"/>
    <xf numFmtId="0" fontId="4" fillId="0" borderId="0"/>
    <xf numFmtId="0" fontId="4" fillId="0" borderId="0"/>
    <xf numFmtId="0" fontId="4"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4" fillId="0" borderId="0"/>
    <xf numFmtId="0" fontId="4" fillId="0" borderId="0"/>
    <xf numFmtId="0" fontId="16" fillId="0" borderId="0">
      <alignment vertical="center"/>
    </xf>
    <xf numFmtId="0" fontId="48" fillId="0" borderId="0">
      <alignment vertical="center"/>
    </xf>
    <xf numFmtId="0" fontId="16" fillId="0" borderId="0">
      <alignment vertical="center"/>
    </xf>
    <xf numFmtId="0" fontId="48" fillId="0" borderId="0">
      <alignment vertical="center"/>
    </xf>
    <xf numFmtId="0" fontId="48" fillId="0" borderId="0">
      <alignment vertical="center"/>
    </xf>
    <xf numFmtId="0" fontId="48" fillId="0" borderId="0">
      <alignment vertical="center"/>
    </xf>
    <xf numFmtId="0" fontId="35" fillId="0" borderId="0">
      <alignment vertical="center"/>
    </xf>
    <xf numFmtId="0" fontId="35" fillId="0" borderId="0">
      <alignment vertical="center"/>
    </xf>
    <xf numFmtId="0" fontId="4" fillId="0" borderId="0">
      <protection locked="0"/>
    </xf>
    <xf numFmtId="0" fontId="35" fillId="0" borderId="0">
      <alignment vertical="center"/>
    </xf>
    <xf numFmtId="0" fontId="35" fillId="0" borderId="0">
      <alignment vertical="center"/>
    </xf>
    <xf numFmtId="0" fontId="4" fillId="0" borderId="0"/>
    <xf numFmtId="0" fontId="48" fillId="0" borderId="0">
      <alignment vertical="center"/>
    </xf>
    <xf numFmtId="0" fontId="116" fillId="0" borderId="0">
      <alignment vertical="center"/>
    </xf>
    <xf numFmtId="0" fontId="116" fillId="0" borderId="0">
      <alignment vertical="center"/>
    </xf>
    <xf numFmtId="0" fontId="4" fillId="0" borderId="0"/>
    <xf numFmtId="0" fontId="49" fillId="0" borderId="0"/>
    <xf numFmtId="0" fontId="4" fillId="0" borderId="0"/>
    <xf numFmtId="0" fontId="6" fillId="0" borderId="0">
      <protection locked="0"/>
    </xf>
    <xf numFmtId="0" fontId="6" fillId="0" borderId="0">
      <protection locked="0"/>
    </xf>
    <xf numFmtId="0" fontId="48" fillId="0" borderId="0">
      <alignment vertical="center"/>
    </xf>
    <xf numFmtId="0" fontId="6" fillId="0" borderId="0">
      <protection locked="0"/>
    </xf>
    <xf numFmtId="0" fontId="6" fillId="0" borderId="0">
      <protection locked="0"/>
    </xf>
    <xf numFmtId="0" fontId="48" fillId="0" borderId="0">
      <alignment vertical="center"/>
    </xf>
    <xf numFmtId="0" fontId="6" fillId="0" borderId="0">
      <protection locked="0"/>
    </xf>
    <xf numFmtId="0" fontId="6" fillId="0" borderId="0">
      <protection locked="0"/>
    </xf>
    <xf numFmtId="0" fontId="48" fillId="0" borderId="0">
      <alignment vertical="center"/>
    </xf>
    <xf numFmtId="0" fontId="6" fillId="0" borderId="0">
      <protection locked="0"/>
    </xf>
    <xf numFmtId="0" fontId="6" fillId="0" borderId="0">
      <protection locked="0"/>
    </xf>
    <xf numFmtId="0" fontId="4" fillId="0" borderId="0">
      <alignment vertical="center"/>
    </xf>
    <xf numFmtId="0" fontId="6" fillId="0" borderId="0">
      <protection locked="0"/>
    </xf>
    <xf numFmtId="0" fontId="6" fillId="0" borderId="0">
      <protection locked="0"/>
    </xf>
    <xf numFmtId="0" fontId="4" fillId="0" borderId="0">
      <alignment vertical="center"/>
    </xf>
    <xf numFmtId="0" fontId="6" fillId="0" borderId="0">
      <protection locked="0"/>
    </xf>
    <xf numFmtId="0" fontId="6" fillId="0" borderId="0">
      <protection locked="0"/>
    </xf>
    <xf numFmtId="0" fontId="4" fillId="0" borderId="0">
      <alignment vertical="center"/>
    </xf>
    <xf numFmtId="0" fontId="6" fillId="0" borderId="0">
      <protection locked="0"/>
    </xf>
    <xf numFmtId="0" fontId="6" fillId="0" borderId="0">
      <protection locked="0"/>
    </xf>
    <xf numFmtId="0" fontId="4" fillId="0" borderId="0">
      <alignment vertical="center"/>
    </xf>
    <xf numFmtId="0" fontId="6" fillId="0" borderId="0">
      <protection locked="0"/>
    </xf>
    <xf numFmtId="0" fontId="6" fillId="0" borderId="0">
      <protection locked="0"/>
    </xf>
    <xf numFmtId="0" fontId="4" fillId="0" borderId="0">
      <alignment vertical="center"/>
    </xf>
    <xf numFmtId="0" fontId="6" fillId="0" borderId="0">
      <protection locked="0"/>
    </xf>
    <xf numFmtId="0" fontId="6" fillId="0" borderId="0">
      <protection locked="0"/>
    </xf>
    <xf numFmtId="0" fontId="4" fillId="0" borderId="0">
      <alignment vertical="center"/>
    </xf>
    <xf numFmtId="0" fontId="6" fillId="0" borderId="0">
      <protection locked="0"/>
    </xf>
    <xf numFmtId="0" fontId="6" fillId="0" borderId="0">
      <protection locked="0"/>
    </xf>
    <xf numFmtId="0" fontId="4" fillId="0" borderId="0"/>
    <xf numFmtId="0" fontId="6" fillId="0" borderId="0">
      <protection locked="0"/>
    </xf>
    <xf numFmtId="0" fontId="5" fillId="0" borderId="0"/>
    <xf numFmtId="0" fontId="4" fillId="0" borderId="0"/>
    <xf numFmtId="0" fontId="4" fillId="0" borderId="0"/>
    <xf numFmtId="0" fontId="5" fillId="0" borderId="0"/>
    <xf numFmtId="0" fontId="52" fillId="0" borderId="0">
      <alignment vertical="center"/>
    </xf>
    <xf numFmtId="0" fontId="52" fillId="0" borderId="0">
      <alignment vertical="center"/>
    </xf>
    <xf numFmtId="0" fontId="5" fillId="0" borderId="0"/>
    <xf numFmtId="0" fontId="49" fillId="0" borderId="0"/>
    <xf numFmtId="0" fontId="49" fillId="0" borderId="0"/>
    <xf numFmtId="0" fontId="5" fillId="0" borderId="0"/>
    <xf numFmtId="0" fontId="48" fillId="0" borderId="0">
      <alignment vertical="center"/>
    </xf>
    <xf numFmtId="0" fontId="48" fillId="0" borderId="0">
      <alignment vertical="center"/>
    </xf>
    <xf numFmtId="0" fontId="5" fillId="0" borderId="0"/>
    <xf numFmtId="0" fontId="48" fillId="0" borderId="0">
      <alignment vertical="center"/>
    </xf>
    <xf numFmtId="0" fontId="48" fillId="0" borderId="0">
      <alignment vertical="center"/>
    </xf>
    <xf numFmtId="0" fontId="4" fillId="0" borderId="0"/>
    <xf numFmtId="0" fontId="6" fillId="0" borderId="0">
      <protection locked="0"/>
    </xf>
    <xf numFmtId="0" fontId="6" fillId="0" borderId="0">
      <protection locked="0"/>
    </xf>
    <xf numFmtId="0" fontId="4" fillId="0" borderId="0"/>
    <xf numFmtId="0" fontId="4" fillId="0" borderId="0">
      <alignment vertical="center"/>
    </xf>
    <xf numFmtId="0" fontId="6" fillId="0" borderId="0">
      <protection locked="0"/>
    </xf>
    <xf numFmtId="0" fontId="6" fillId="0" borderId="0">
      <protection locked="0"/>
    </xf>
    <xf numFmtId="0" fontId="4" fillId="0" borderId="0">
      <alignment vertical="center"/>
    </xf>
    <xf numFmtId="0" fontId="6" fillId="0" borderId="0">
      <protection locked="0"/>
    </xf>
    <xf numFmtId="0" fontId="6" fillId="0" borderId="0">
      <protection locked="0"/>
    </xf>
    <xf numFmtId="0" fontId="4" fillId="0" borderId="0">
      <alignment vertical="center"/>
    </xf>
    <xf numFmtId="0" fontId="6" fillId="0" borderId="0">
      <protection locked="0"/>
    </xf>
    <xf numFmtId="0" fontId="6" fillId="0" borderId="0">
      <protection locked="0"/>
    </xf>
    <xf numFmtId="0" fontId="4" fillId="0" borderId="0">
      <alignment vertical="center"/>
    </xf>
    <xf numFmtId="0" fontId="6" fillId="0" borderId="0">
      <protection locked="0"/>
    </xf>
    <xf numFmtId="0" fontId="6" fillId="0" borderId="0">
      <protection locked="0"/>
    </xf>
    <xf numFmtId="0" fontId="4" fillId="0" borderId="0">
      <alignment vertical="center"/>
    </xf>
    <xf numFmtId="0" fontId="6" fillId="0" borderId="0">
      <protection locked="0"/>
    </xf>
    <xf numFmtId="0" fontId="6" fillId="0" borderId="0">
      <protection locked="0"/>
    </xf>
    <xf numFmtId="0" fontId="4" fillId="0" borderId="0">
      <alignment vertical="center"/>
    </xf>
    <xf numFmtId="0" fontId="6" fillId="0" borderId="0">
      <protection locked="0"/>
    </xf>
    <xf numFmtId="0" fontId="6" fillId="0" borderId="0">
      <protection locked="0"/>
    </xf>
    <xf numFmtId="0" fontId="4" fillId="0" borderId="0">
      <alignment vertical="center"/>
    </xf>
    <xf numFmtId="0" fontId="6" fillId="0" borderId="0">
      <protection locked="0"/>
    </xf>
    <xf numFmtId="0" fontId="6" fillId="0" borderId="0">
      <protection locked="0"/>
    </xf>
    <xf numFmtId="0" fontId="4" fillId="0" borderId="0">
      <alignment vertical="center"/>
    </xf>
    <xf numFmtId="0" fontId="6" fillId="0" borderId="0">
      <protection locked="0"/>
    </xf>
    <xf numFmtId="0" fontId="6" fillId="0" borderId="0">
      <protection locked="0"/>
    </xf>
    <xf numFmtId="0" fontId="4" fillId="0" borderId="0">
      <alignment vertical="center"/>
    </xf>
    <xf numFmtId="0" fontId="6" fillId="0" borderId="0">
      <protection locked="0"/>
    </xf>
    <xf numFmtId="0" fontId="6" fillId="0" borderId="0">
      <protection locked="0"/>
    </xf>
    <xf numFmtId="0" fontId="4" fillId="0" borderId="0">
      <alignment vertical="center"/>
    </xf>
    <xf numFmtId="0" fontId="6" fillId="0" borderId="0">
      <protection locked="0"/>
    </xf>
    <xf numFmtId="0" fontId="6" fillId="0" borderId="0">
      <protection locked="0"/>
    </xf>
    <xf numFmtId="0" fontId="4" fillId="0" borderId="0">
      <alignment vertical="center"/>
    </xf>
    <xf numFmtId="0" fontId="52" fillId="0" borderId="0">
      <alignment vertical="center"/>
    </xf>
    <xf numFmtId="0" fontId="52" fillId="0" borderId="0">
      <alignment vertical="center"/>
    </xf>
    <xf numFmtId="0" fontId="4" fillId="0" borderId="0"/>
    <xf numFmtId="0" fontId="6" fillId="0" borderId="0">
      <protection locked="0"/>
    </xf>
    <xf numFmtId="0" fontId="11" fillId="0" borderId="0">
      <alignment vertical="center"/>
    </xf>
    <xf numFmtId="0" fontId="6" fillId="0" borderId="0">
      <protection locked="0"/>
    </xf>
    <xf numFmtId="0" fontId="4" fillId="0" borderId="0">
      <alignment vertical="center"/>
    </xf>
    <xf numFmtId="0" fontId="6" fillId="0" borderId="0">
      <protection locked="0"/>
    </xf>
    <xf numFmtId="0" fontId="6" fillId="0" borderId="0">
      <protection locked="0"/>
    </xf>
    <xf numFmtId="0" fontId="4" fillId="0" borderId="0">
      <alignment vertical="center"/>
    </xf>
    <xf numFmtId="0" fontId="6" fillId="0" borderId="0">
      <protection locked="0"/>
    </xf>
    <xf numFmtId="0" fontId="6" fillId="0" borderId="0">
      <protection locked="0"/>
    </xf>
    <xf numFmtId="0" fontId="4" fillId="0" borderId="0">
      <alignment vertical="center"/>
    </xf>
    <xf numFmtId="0" fontId="6" fillId="0" borderId="0">
      <protection locked="0"/>
    </xf>
    <xf numFmtId="0" fontId="6" fillId="0" borderId="0">
      <protection locked="0"/>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9" fillId="0" borderId="0"/>
    <xf numFmtId="0" fontId="6" fillId="0" borderId="0">
      <protection locked="0"/>
    </xf>
    <xf numFmtId="0" fontId="6" fillId="0" borderId="0">
      <protection locked="0"/>
    </xf>
    <xf numFmtId="0" fontId="6" fillId="0" borderId="0">
      <protection locked="0"/>
    </xf>
    <xf numFmtId="0" fontId="49" fillId="0" borderId="0"/>
    <xf numFmtId="0" fontId="6" fillId="0" borderId="0">
      <protection locked="0"/>
    </xf>
    <xf numFmtId="0" fontId="6" fillId="0" borderId="0">
      <protection locked="0"/>
    </xf>
    <xf numFmtId="0" fontId="49" fillId="0" borderId="0"/>
    <xf numFmtId="0" fontId="6" fillId="0" borderId="0">
      <protection locked="0"/>
    </xf>
    <xf numFmtId="0" fontId="6" fillId="0" borderId="0">
      <protection locked="0"/>
    </xf>
    <xf numFmtId="0" fontId="49" fillId="0" borderId="0"/>
    <xf numFmtId="0" fontId="6" fillId="0" borderId="0">
      <protection locked="0"/>
    </xf>
    <xf numFmtId="0" fontId="6" fillId="0" borderId="0">
      <protection locked="0"/>
    </xf>
    <xf numFmtId="0" fontId="48" fillId="0" borderId="0">
      <alignment vertical="center"/>
    </xf>
    <xf numFmtId="0" fontId="6" fillId="0" borderId="0">
      <protection locked="0"/>
    </xf>
    <xf numFmtId="0" fontId="6" fillId="0" borderId="0">
      <protection locked="0"/>
    </xf>
    <xf numFmtId="0" fontId="48" fillId="0" borderId="0">
      <alignment vertical="center"/>
    </xf>
    <xf numFmtId="0" fontId="6" fillId="0" borderId="0">
      <protection locked="0"/>
    </xf>
    <xf numFmtId="0" fontId="6" fillId="0" borderId="0">
      <protection locked="0"/>
    </xf>
    <xf numFmtId="0" fontId="4" fillId="0" borderId="0"/>
    <xf numFmtId="0" fontId="4" fillId="0" borderId="0"/>
    <xf numFmtId="0" fontId="4" fillId="0" borderId="0"/>
    <xf numFmtId="0" fontId="116" fillId="0" borderId="0">
      <alignment vertical="center"/>
    </xf>
    <xf numFmtId="0" fontId="116" fillId="0" borderId="0">
      <alignment vertical="center"/>
    </xf>
    <xf numFmtId="0" fontId="4" fillId="0" borderId="0"/>
    <xf numFmtId="0" fontId="4" fillId="0" borderId="0">
      <protection locked="0"/>
    </xf>
    <xf numFmtId="0" fontId="48" fillId="0" borderId="0">
      <alignment vertical="center"/>
    </xf>
    <xf numFmtId="0" fontId="4" fillId="0" borderId="0"/>
    <xf numFmtId="0" fontId="4" fillId="0" borderId="0"/>
    <xf numFmtId="0" fontId="116" fillId="0" borderId="0">
      <alignment vertical="center"/>
    </xf>
    <xf numFmtId="0" fontId="116" fillId="0" borderId="0">
      <alignment vertical="center"/>
    </xf>
    <xf numFmtId="0" fontId="4" fillId="0" borderId="0"/>
    <xf numFmtId="0" fontId="4" fillId="0" borderId="0"/>
    <xf numFmtId="0" fontId="4" fillId="0" borderId="0"/>
    <xf numFmtId="0" fontId="48" fillId="0" borderId="0">
      <alignment vertical="center"/>
    </xf>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5" fillId="0" borderId="0"/>
    <xf numFmtId="0" fontId="5" fillId="0" borderId="0"/>
    <xf numFmtId="0" fontId="11"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8" fillId="0" borderId="0">
      <alignment vertical="center"/>
    </xf>
    <xf numFmtId="0" fontId="4" fillId="0" borderId="0"/>
    <xf numFmtId="0" fontId="4" fillId="0" borderId="0"/>
    <xf numFmtId="0" fontId="4" fillId="0" borderId="0"/>
    <xf numFmtId="0" fontId="4" fillId="0" borderId="0"/>
    <xf numFmtId="0" fontId="16" fillId="0" borderId="0">
      <alignment vertical="center"/>
    </xf>
    <xf numFmtId="0" fontId="16"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5" fillId="0" borderId="0"/>
    <xf numFmtId="0" fontId="5" fillId="0" borderId="0"/>
    <xf numFmtId="0" fontId="48" fillId="0" borderId="0">
      <alignment vertical="center"/>
    </xf>
    <xf numFmtId="0" fontId="48" fillId="0" borderId="0">
      <alignment vertical="center"/>
    </xf>
    <xf numFmtId="0" fontId="4" fillId="0" borderId="0">
      <alignment vertical="center"/>
    </xf>
    <xf numFmtId="0" fontId="4" fillId="0" borderId="0">
      <alignment vertical="center"/>
    </xf>
    <xf numFmtId="0" fontId="48" fillId="0" borderId="0">
      <alignment vertical="center"/>
    </xf>
    <xf numFmtId="0" fontId="48" fillId="0" borderId="0">
      <alignment vertical="center"/>
    </xf>
    <xf numFmtId="0" fontId="4" fillId="0" borderId="0">
      <alignment vertical="center"/>
    </xf>
    <xf numFmtId="0" fontId="4" fillId="0" borderId="0">
      <alignment vertical="center"/>
    </xf>
    <xf numFmtId="0" fontId="48" fillId="0" borderId="0">
      <alignment vertical="center"/>
    </xf>
    <xf numFmtId="0" fontId="48" fillId="0" borderId="0">
      <alignment vertical="center"/>
    </xf>
    <xf numFmtId="0" fontId="16" fillId="0" borderId="0">
      <alignment vertical="center"/>
    </xf>
    <xf numFmtId="0" fontId="16" fillId="0" borderId="0">
      <alignment vertical="center"/>
    </xf>
    <xf numFmtId="0" fontId="48" fillId="0" borderId="0">
      <alignment vertical="center"/>
    </xf>
    <xf numFmtId="0" fontId="48" fillId="0" borderId="0">
      <alignment vertical="center"/>
    </xf>
    <xf numFmtId="0" fontId="49" fillId="0" borderId="0"/>
    <xf numFmtId="0" fontId="49" fillId="0" borderId="0"/>
    <xf numFmtId="0" fontId="48" fillId="0" borderId="0">
      <alignment vertical="center"/>
    </xf>
    <xf numFmtId="0" fontId="48" fillId="0" borderId="0">
      <alignment vertical="center"/>
    </xf>
    <xf numFmtId="0" fontId="6" fillId="0" borderId="0">
      <alignment vertical="center"/>
    </xf>
    <xf numFmtId="0" fontId="48" fillId="0" borderId="0">
      <alignment vertical="center"/>
    </xf>
    <xf numFmtId="0" fontId="48" fillId="0" borderId="0">
      <alignment vertical="center"/>
    </xf>
    <xf numFmtId="0" fontId="232"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4" fillId="0" borderId="0"/>
    <xf numFmtId="0" fontId="48" fillId="0" borderId="0">
      <alignment vertical="center"/>
    </xf>
    <xf numFmtId="0" fontId="4" fillId="0" borderId="0">
      <alignment vertical="center"/>
    </xf>
    <xf numFmtId="0" fontId="4" fillId="0" borderId="0"/>
    <xf numFmtId="0" fontId="4" fillId="0" borderId="0">
      <alignment vertical="top"/>
    </xf>
    <xf numFmtId="0" fontId="4" fillId="0" borderId="0">
      <alignment vertical="top"/>
    </xf>
    <xf numFmtId="0" fontId="4" fillId="0" borderId="0">
      <alignment vertical="top"/>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4" fillId="0" borderId="0"/>
    <xf numFmtId="0" fontId="52" fillId="0" borderId="0">
      <alignment vertical="center"/>
    </xf>
    <xf numFmtId="0" fontId="52" fillId="0" borderId="0">
      <alignment vertical="center"/>
    </xf>
    <xf numFmtId="0" fontId="6" fillId="0" borderId="0">
      <alignment vertical="center"/>
    </xf>
    <xf numFmtId="0" fontId="6" fillId="0" borderId="0">
      <alignment vertical="center"/>
    </xf>
    <xf numFmtId="0" fontId="6"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6"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4" fillId="0" borderId="0">
      <alignment vertical="center"/>
    </xf>
    <xf numFmtId="0" fontId="4" fillId="0" borderId="0">
      <alignment vertical="center"/>
    </xf>
    <xf numFmtId="0" fontId="52" fillId="0" borderId="0">
      <alignment vertical="center"/>
    </xf>
    <xf numFmtId="0" fontId="52" fillId="0" borderId="0">
      <alignment vertical="center"/>
    </xf>
    <xf numFmtId="0" fontId="4" fillId="0" borderId="0">
      <alignment vertical="center"/>
    </xf>
    <xf numFmtId="0" fontId="52" fillId="0" borderId="0">
      <alignment vertical="center"/>
    </xf>
    <xf numFmtId="0" fontId="52" fillId="0" borderId="0">
      <alignment vertical="center"/>
    </xf>
    <xf numFmtId="0" fontId="4" fillId="0" borderId="0">
      <alignment vertical="center"/>
    </xf>
    <xf numFmtId="0" fontId="48" fillId="0" borderId="0">
      <alignment vertical="center"/>
    </xf>
    <xf numFmtId="0" fontId="48" fillId="0" borderId="0">
      <alignment vertical="center"/>
    </xf>
    <xf numFmtId="0" fontId="4" fillId="0" borderId="0">
      <alignment vertical="center"/>
    </xf>
    <xf numFmtId="0" fontId="48" fillId="0" borderId="0">
      <alignment vertical="center"/>
    </xf>
    <xf numFmtId="0" fontId="48" fillId="0" borderId="0">
      <alignment vertical="center"/>
    </xf>
    <xf numFmtId="0" fontId="4" fillId="0" borderId="0">
      <alignment vertical="center"/>
    </xf>
    <xf numFmtId="0" fontId="52"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151" fillId="0" borderId="0" applyFill="0" applyProtection="0"/>
    <xf numFmtId="0" fontId="48" fillId="0" borderId="0">
      <alignment vertical="center"/>
    </xf>
    <xf numFmtId="0" fontId="151" fillId="0" borderId="0" applyFill="0" applyProtection="0"/>
    <xf numFmtId="0" fontId="48" fillId="0" borderId="0">
      <alignment vertical="center"/>
    </xf>
    <xf numFmtId="0" fontId="151" fillId="0" borderId="0" applyFill="0" applyProtection="0"/>
    <xf numFmtId="0" fontId="48" fillId="0" borderId="0">
      <alignment vertical="center"/>
    </xf>
    <xf numFmtId="0" fontId="151" fillId="0" borderId="0" applyFill="0" applyProtection="0"/>
    <xf numFmtId="0" fontId="48" fillId="0" borderId="0">
      <alignment vertical="center"/>
    </xf>
    <xf numFmtId="0" fontId="232"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4" fillId="0" borderId="0"/>
    <xf numFmtId="0" fontId="4" fillId="0" borderId="0"/>
    <xf numFmtId="0" fontId="4" fillId="0" borderId="0">
      <alignment vertical="center"/>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4" fillId="0" borderId="0">
      <alignment vertical="center"/>
    </xf>
    <xf numFmtId="0" fontId="52" fillId="0" borderId="0">
      <alignment vertical="center"/>
    </xf>
    <xf numFmtId="0" fontId="48" fillId="0" borderId="0">
      <alignment vertical="center"/>
    </xf>
    <xf numFmtId="0" fontId="5" fillId="0" borderId="0"/>
    <xf numFmtId="0" fontId="5" fillId="0" borderId="0"/>
    <xf numFmtId="0" fontId="5" fillId="0" borderId="0"/>
    <xf numFmtId="0" fontId="4" fillId="0" borderId="0"/>
    <xf numFmtId="0" fontId="151" fillId="0" borderId="0" applyFill="0" applyProtection="0"/>
    <xf numFmtId="0" fontId="151" fillId="0" borderId="0" applyFill="0" applyProtection="0"/>
    <xf numFmtId="0" fontId="4"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9" fillId="0" borderId="0"/>
    <xf numFmtId="0" fontId="52" fillId="0" borderId="0">
      <alignment vertical="center"/>
    </xf>
    <xf numFmtId="0" fontId="4" fillId="0" borderId="0"/>
    <xf numFmtId="0" fontId="4" fillId="0" borderId="0"/>
    <xf numFmtId="0" fontId="4" fillId="0" borderId="0"/>
    <xf numFmtId="0" fontId="4" fillId="0" borderId="0"/>
    <xf numFmtId="0" fontId="4" fillId="0" borderId="0"/>
    <xf numFmtId="0" fontId="52" fillId="0" borderId="0">
      <alignment vertical="center"/>
    </xf>
    <xf numFmtId="0" fontId="52" fillId="0" borderId="0">
      <alignment vertical="center"/>
    </xf>
    <xf numFmtId="0" fontId="4" fillId="0" borderId="0"/>
    <xf numFmtId="0" fontId="52" fillId="0" borderId="0">
      <alignment vertical="center"/>
    </xf>
    <xf numFmtId="0" fontId="52" fillId="0" borderId="0">
      <alignment vertical="center"/>
    </xf>
    <xf numFmtId="0" fontId="4" fillId="0" borderId="0"/>
    <xf numFmtId="0" fontId="52" fillId="0" borderId="0">
      <alignment vertical="center"/>
    </xf>
    <xf numFmtId="0" fontId="52" fillId="0" borderId="0">
      <alignment vertical="center"/>
    </xf>
    <xf numFmtId="0" fontId="4" fillId="0" borderId="0"/>
    <xf numFmtId="0" fontId="52" fillId="0" borderId="0">
      <alignment vertical="center"/>
    </xf>
    <xf numFmtId="0" fontId="52" fillId="0" borderId="0">
      <alignment vertical="center"/>
    </xf>
    <xf numFmtId="0" fontId="48" fillId="0" borderId="0">
      <alignment vertical="center"/>
    </xf>
    <xf numFmtId="0" fontId="4" fillId="0" borderId="0">
      <alignment vertical="center"/>
    </xf>
    <xf numFmtId="0" fontId="4" fillId="0" borderId="0"/>
    <xf numFmtId="0" fontId="49" fillId="0" borderId="0"/>
    <xf numFmtId="0" fontId="49" fillId="0" borderId="0"/>
    <xf numFmtId="0" fontId="49" fillId="0" borderId="0"/>
    <xf numFmtId="0" fontId="48" fillId="0" borderId="0">
      <alignment vertical="center"/>
    </xf>
    <xf numFmtId="0" fontId="48" fillId="0" borderId="0">
      <alignment vertical="center"/>
    </xf>
    <xf numFmtId="0" fontId="49" fillId="0" borderId="0"/>
    <xf numFmtId="0" fontId="49" fillId="0" borderId="0"/>
    <xf numFmtId="0" fontId="49" fillId="0" borderId="0"/>
    <xf numFmtId="0" fontId="49" fillId="0" borderId="0"/>
    <xf numFmtId="0" fontId="49" fillId="0" borderId="0"/>
    <xf numFmtId="0" fontId="5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2" fillId="0" borderId="0">
      <alignment vertical="center"/>
    </xf>
    <xf numFmtId="0" fontId="4"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2" fillId="0" borderId="0">
      <alignment vertical="center"/>
    </xf>
    <xf numFmtId="0" fontId="52" fillId="0" borderId="0">
      <alignment vertical="center"/>
    </xf>
    <xf numFmtId="0" fontId="52" fillId="0" borderId="0">
      <alignment vertical="center"/>
    </xf>
    <xf numFmtId="0" fontId="48" fillId="0" borderId="0">
      <alignment vertical="center"/>
    </xf>
    <xf numFmtId="0" fontId="6" fillId="0" borderId="0"/>
    <xf numFmtId="0" fontId="6" fillId="0" borderId="0"/>
    <xf numFmtId="0" fontId="6" fillId="0" borderId="0"/>
    <xf numFmtId="0" fontId="4" fillId="0" borderId="0">
      <alignment vertical="center"/>
    </xf>
    <xf numFmtId="0" fontId="49" fillId="0" borderId="0"/>
    <xf numFmtId="0" fontId="48" fillId="0" borderId="0">
      <alignment vertical="center"/>
    </xf>
    <xf numFmtId="0" fontId="5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52" fillId="0" borderId="0">
      <alignment vertical="center"/>
    </xf>
    <xf numFmtId="0" fontId="4" fillId="0" borderId="0">
      <alignment vertical="center"/>
    </xf>
    <xf numFmtId="0" fontId="5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alignment vertical="center"/>
    </xf>
    <xf numFmtId="0" fontId="52" fillId="0" borderId="0">
      <alignment vertical="center"/>
    </xf>
    <xf numFmtId="0" fontId="48" fillId="0" borderId="0">
      <alignment vertical="center"/>
    </xf>
    <xf numFmtId="0" fontId="6" fillId="0" borderId="0"/>
    <xf numFmtId="0" fontId="6" fillId="0" borderId="0"/>
    <xf numFmtId="0" fontId="6" fillId="0" borderId="0"/>
    <xf numFmtId="0" fontId="6" fillId="0" borderId="0"/>
    <xf numFmtId="0" fontId="6" fillId="0" borderId="0"/>
    <xf numFmtId="0" fontId="4" fillId="0" borderId="0">
      <alignment vertical="center"/>
    </xf>
    <xf numFmtId="0" fontId="52" fillId="0" borderId="0">
      <alignment vertical="center"/>
    </xf>
    <xf numFmtId="0" fontId="52" fillId="0" borderId="0">
      <alignment vertical="center"/>
    </xf>
    <xf numFmtId="0" fontId="52" fillId="0" borderId="0">
      <alignment vertical="center"/>
    </xf>
    <xf numFmtId="0" fontId="48" fillId="0" borderId="0">
      <alignment vertical="center"/>
    </xf>
    <xf numFmtId="0" fontId="49" fillId="0" borderId="0"/>
    <xf numFmtId="0" fontId="49" fillId="0" borderId="0"/>
    <xf numFmtId="0" fontId="172" fillId="0" borderId="0" applyNumberFormat="0" applyFill="0" applyBorder="0" applyAlignment="0" applyProtection="0">
      <alignment vertical="top"/>
      <protection locked="0"/>
    </xf>
    <xf numFmtId="0" fontId="233" fillId="0" borderId="0" applyNumberFormat="0" applyFill="0" applyBorder="0" applyAlignment="0" applyProtection="0">
      <alignment vertical="top"/>
      <protection locked="0"/>
    </xf>
    <xf numFmtId="0" fontId="234"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234"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4" fillId="0" borderId="0" applyNumberFormat="0" applyFill="0" applyBorder="0" applyAlignment="0" applyProtection="0"/>
    <xf numFmtId="0" fontId="153" fillId="80" borderId="0" applyNumberFormat="0" applyBorder="0" applyAlignment="0" applyProtection="0"/>
    <xf numFmtId="0" fontId="153" fillId="65" borderId="0" applyNumberFormat="0" applyBorder="0" applyAlignment="0" applyProtection="0"/>
    <xf numFmtId="0" fontId="153" fillId="66" borderId="0" applyNumberFormat="0" applyBorder="0" applyAlignment="0" applyProtection="0"/>
    <xf numFmtId="0" fontId="153" fillId="31" borderId="0" applyNumberFormat="0" applyBorder="0" applyAlignment="0" applyProtection="0"/>
    <xf numFmtId="0" fontId="153" fillId="32" borderId="0" applyNumberFormat="0" applyBorder="0" applyAlignment="0" applyProtection="0"/>
    <xf numFmtId="0" fontId="153" fillId="34" borderId="0" applyNumberFormat="0" applyBorder="0" applyAlignment="0" applyProtection="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9" fontId="111" fillId="0" borderId="0" applyFont="0" applyFill="0" applyBorder="0" applyAlignment="0" applyProtection="0"/>
    <xf numFmtId="0" fontId="73" fillId="14" borderId="0" applyNumberFormat="0" applyBorder="0" applyAlignment="0" applyProtection="0">
      <alignment vertical="center"/>
    </xf>
    <xf numFmtId="0" fontId="126" fillId="46" borderId="0" applyNumberFormat="0" applyBorder="0" applyAlignment="0" applyProtection="0">
      <alignment vertical="center"/>
    </xf>
    <xf numFmtId="0" fontId="126" fillId="46"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17"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147" fillId="81" borderId="0" applyNumberFormat="0" applyBorder="0" applyAlignment="0" applyProtection="0">
      <alignment vertical="center"/>
    </xf>
    <xf numFmtId="0" fontId="147" fillId="39" borderId="0" applyNumberFormat="0" applyBorder="0" applyAlignment="0" applyProtection="0">
      <alignment vertical="center"/>
    </xf>
    <xf numFmtId="0" fontId="147" fillId="39" borderId="0" applyNumberFormat="0" applyBorder="0" applyAlignment="0" applyProtection="0">
      <alignment vertical="center"/>
    </xf>
    <xf numFmtId="0" fontId="73" fillId="14" borderId="0" applyNumberFormat="0" applyBorder="0" applyAlignment="0" applyProtection="0">
      <alignment vertical="center"/>
    </xf>
    <xf numFmtId="0" fontId="73" fillId="82" borderId="0" applyNumberFormat="0" applyBorder="0" applyAlignment="0" applyProtection="0">
      <alignment vertical="center"/>
    </xf>
    <xf numFmtId="0" fontId="103" fillId="82" borderId="0" applyNumberFormat="0" applyBorder="0" applyAlignment="0" applyProtection="0">
      <alignment vertical="center"/>
    </xf>
    <xf numFmtId="0" fontId="103" fillId="82" borderId="0" applyNumberFormat="0" applyBorder="0" applyAlignment="0" applyProtection="0">
      <alignment vertical="center"/>
    </xf>
    <xf numFmtId="0" fontId="103" fillId="82" borderId="0" applyNumberFormat="0" applyBorder="0" applyAlignment="0" applyProtection="0">
      <alignment vertical="center"/>
    </xf>
    <xf numFmtId="0" fontId="73" fillId="82" borderId="0" applyNumberFormat="0" applyBorder="0" applyAlignment="0" applyProtection="0">
      <alignment vertical="center"/>
    </xf>
    <xf numFmtId="0" fontId="103" fillId="82" borderId="0" applyNumberFormat="0" applyBorder="0" applyAlignment="0" applyProtection="0">
      <alignment vertical="center"/>
    </xf>
    <xf numFmtId="0" fontId="103" fillId="82" borderId="0" applyNumberFormat="0" applyBorder="0" applyAlignment="0" applyProtection="0">
      <alignment vertical="center"/>
    </xf>
    <xf numFmtId="0" fontId="103" fillId="82" borderId="0" applyNumberFormat="0" applyBorder="0" applyAlignment="0" applyProtection="0">
      <alignment vertical="center"/>
    </xf>
    <xf numFmtId="0" fontId="103" fillId="82" borderId="0" applyNumberFormat="0" applyBorder="0" applyAlignment="0" applyProtection="0">
      <alignment vertical="center"/>
    </xf>
    <xf numFmtId="0" fontId="73" fillId="82" borderId="0" applyNumberFormat="0" applyBorder="0" applyAlignment="0" applyProtection="0">
      <alignment vertical="center"/>
    </xf>
    <xf numFmtId="0" fontId="73" fillId="82" borderId="0" applyNumberFormat="0" applyBorder="0" applyAlignment="0" applyProtection="0">
      <alignment vertical="center"/>
    </xf>
    <xf numFmtId="0" fontId="147" fillId="81" borderId="0" applyNumberFormat="0" applyBorder="0" applyAlignment="0" applyProtection="0">
      <alignment vertical="center"/>
    </xf>
    <xf numFmtId="0" fontId="147" fillId="39" borderId="0" applyNumberFormat="0" applyBorder="0" applyAlignment="0" applyProtection="0">
      <alignment vertical="center"/>
    </xf>
    <xf numFmtId="0" fontId="147" fillId="39" borderId="0" applyNumberFormat="0" applyBorder="0" applyAlignment="0" applyProtection="0">
      <alignment vertical="center"/>
    </xf>
    <xf numFmtId="0" fontId="73" fillId="46" borderId="0" applyNumberFormat="0" applyBorder="0" applyAlignment="0" applyProtection="0">
      <alignment vertical="center"/>
    </xf>
    <xf numFmtId="0" fontId="72" fillId="14" borderId="0" applyNumberFormat="0" applyBorder="0" applyAlignment="0" applyProtection="0">
      <alignment vertical="center"/>
    </xf>
    <xf numFmtId="0" fontId="72" fillId="14"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147" fillId="81" borderId="0" applyNumberFormat="0" applyBorder="0" applyAlignment="0" applyProtection="0">
      <alignment vertical="center"/>
    </xf>
    <xf numFmtId="0" fontId="147" fillId="39" borderId="0" applyNumberFormat="0" applyBorder="0" applyAlignment="0" applyProtection="0">
      <alignment vertical="center"/>
    </xf>
    <xf numFmtId="0" fontId="147" fillId="39"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147" fillId="81" borderId="0" applyNumberFormat="0" applyBorder="0" applyAlignment="0" applyProtection="0">
      <alignment vertical="center"/>
    </xf>
    <xf numFmtId="0" fontId="147" fillId="39" borderId="0" applyNumberFormat="0" applyBorder="0" applyAlignment="0" applyProtection="0">
      <alignment vertical="center"/>
    </xf>
    <xf numFmtId="0" fontId="147" fillId="39"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147" fillId="81" borderId="0" applyNumberFormat="0" applyBorder="0" applyAlignment="0" applyProtection="0">
      <alignment vertical="center"/>
    </xf>
    <xf numFmtId="0" fontId="147" fillId="39" borderId="0" applyNumberFormat="0" applyBorder="0" applyAlignment="0" applyProtection="0">
      <alignment vertical="center"/>
    </xf>
    <xf numFmtId="0" fontId="147" fillId="39"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103" fillId="82" borderId="0" applyNumberFormat="0" applyBorder="0" applyAlignment="0" applyProtection="0">
      <alignment vertical="center"/>
    </xf>
    <xf numFmtId="0" fontId="10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10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103" fillId="82"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3" borderId="0" applyNumberFormat="0" applyBorder="0" applyAlignment="0" applyProtection="0">
      <alignment vertical="center"/>
    </xf>
    <xf numFmtId="0" fontId="73" fillId="84" borderId="0" applyNumberFormat="0" applyBorder="0" applyAlignment="0" applyProtection="0">
      <alignment vertical="center"/>
    </xf>
    <xf numFmtId="0" fontId="73" fillId="84"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235" fillId="17"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14" borderId="0" applyNumberFormat="0" applyBorder="0" applyAlignment="0" applyProtection="0">
      <alignment vertical="center"/>
    </xf>
    <xf numFmtId="0" fontId="235" fillId="18"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103" fillId="82" borderId="0" applyNumberFormat="0" applyBorder="0" applyAlignment="0" applyProtection="0">
      <alignment vertical="center"/>
    </xf>
    <xf numFmtId="0" fontId="103" fillId="82"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82" borderId="0" applyNumberFormat="0" applyBorder="0" applyAlignment="0" applyProtection="0">
      <alignment vertical="center"/>
    </xf>
    <xf numFmtId="0" fontId="73" fillId="55" borderId="0" applyNumberFormat="0" applyBorder="0" applyAlignment="0" applyProtection="0">
      <alignment vertical="center"/>
    </xf>
    <xf numFmtId="0" fontId="73" fillId="55"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82" borderId="0" applyNumberFormat="0" applyBorder="0" applyAlignment="0" applyProtection="0">
      <alignment vertical="center"/>
    </xf>
    <xf numFmtId="0" fontId="195" fillId="46" borderId="0" applyNumberFormat="0" applyBorder="0" applyAlignment="0" applyProtection="0">
      <alignment vertical="center"/>
    </xf>
    <xf numFmtId="0" fontId="73" fillId="46" borderId="0" applyNumberFormat="0" applyBorder="0" applyAlignment="0" applyProtection="0">
      <alignment vertical="center"/>
    </xf>
    <xf numFmtId="0" fontId="142" fillId="85" borderId="0" applyNumberFormat="0" applyBorder="0" applyAlignment="0" applyProtection="0">
      <alignment vertical="center"/>
    </xf>
    <xf numFmtId="0" fontId="103" fillId="82" borderId="0" applyNumberFormat="0" applyBorder="0" applyAlignment="0" applyProtection="0">
      <alignment vertical="center"/>
    </xf>
    <xf numFmtId="0" fontId="103" fillId="82" borderId="0" applyNumberFormat="0" applyBorder="0" applyAlignment="0" applyProtection="0">
      <alignment vertical="center"/>
    </xf>
    <xf numFmtId="0" fontId="142" fillId="85" borderId="0" applyNumberFormat="0" applyBorder="0" applyAlignment="0" applyProtection="0">
      <alignment vertical="center"/>
    </xf>
    <xf numFmtId="0" fontId="103" fillId="82"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2" fillId="14" borderId="0" applyNumberFormat="0" applyBorder="0" applyAlignment="0" applyProtection="0">
      <alignment vertical="center"/>
    </xf>
    <xf numFmtId="0" fontId="103" fillId="82" borderId="0" applyNumberFormat="0" applyBorder="0" applyAlignment="0" applyProtection="0">
      <alignment vertical="center"/>
    </xf>
    <xf numFmtId="0" fontId="72" fillId="14"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2" fillId="14"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173" fillId="14" borderId="0" applyNumberFormat="0" applyBorder="0" applyAlignment="0" applyProtection="0"/>
    <xf numFmtId="0" fontId="126" fillId="14" borderId="0" applyNumberFormat="0" applyBorder="0" applyAlignment="0" applyProtection="0">
      <alignment vertical="center"/>
    </xf>
    <xf numFmtId="0" fontId="73" fillId="17"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73" fillId="17"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2" fillId="14"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14"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14"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103" fillId="82"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103" fillId="82" borderId="0" applyNumberFormat="0" applyBorder="0" applyAlignment="0" applyProtection="0">
      <alignment vertical="center"/>
    </xf>
    <xf numFmtId="0" fontId="73" fillId="14" borderId="0" applyNumberFormat="0" applyBorder="0" applyAlignment="0" applyProtection="0">
      <alignment vertical="center"/>
    </xf>
    <xf numFmtId="0" fontId="103" fillId="82" borderId="0" applyNumberFormat="0" applyBorder="0" applyAlignment="0" applyProtection="0">
      <alignment vertical="center"/>
    </xf>
    <xf numFmtId="0" fontId="103" fillId="82" borderId="0" applyNumberFormat="0" applyBorder="0" applyAlignment="0" applyProtection="0">
      <alignment vertical="center"/>
    </xf>
    <xf numFmtId="0" fontId="73" fillId="14" borderId="0" applyNumberFormat="0" applyBorder="0" applyAlignment="0" applyProtection="0">
      <alignment vertical="center"/>
    </xf>
    <xf numFmtId="0" fontId="73" fillId="17"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2" fillId="45" borderId="0" applyNumberFormat="0" applyBorder="0" applyAlignment="0" applyProtection="0"/>
    <xf numFmtId="0" fontId="72" fillId="46"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3" fillId="17"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73" fillId="17"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103" fillId="82" borderId="0" applyNumberFormat="0" applyBorder="0" applyAlignment="0" applyProtection="0">
      <alignment vertical="center"/>
    </xf>
    <xf numFmtId="0" fontId="73" fillId="82" borderId="0" applyNumberFormat="0" applyBorder="0" applyAlignment="0" applyProtection="0">
      <alignment vertical="center"/>
    </xf>
    <xf numFmtId="0" fontId="73" fillId="17"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103" fillId="82" borderId="0" applyNumberFormat="0" applyBorder="0" applyAlignment="0" applyProtection="0">
      <alignment vertical="center"/>
    </xf>
    <xf numFmtId="0" fontId="73" fillId="82" borderId="0" applyNumberFormat="0" applyBorder="0" applyAlignment="0" applyProtection="0">
      <alignment vertical="center"/>
    </xf>
    <xf numFmtId="0" fontId="103" fillId="82" borderId="0" applyNumberFormat="0" applyBorder="0" applyAlignment="0" applyProtection="0">
      <alignment vertical="center"/>
    </xf>
    <xf numFmtId="0" fontId="73" fillId="14" borderId="0" applyNumberFormat="0" applyBorder="0" applyAlignment="0" applyProtection="0">
      <alignment vertical="center"/>
    </xf>
    <xf numFmtId="0" fontId="73" fillId="82" borderId="0" applyNumberFormat="0" applyBorder="0" applyAlignment="0" applyProtection="0">
      <alignment vertical="center"/>
    </xf>
    <xf numFmtId="0" fontId="103" fillId="82" borderId="0" applyNumberFormat="0" applyBorder="0" applyAlignment="0" applyProtection="0">
      <alignment vertical="center"/>
    </xf>
    <xf numFmtId="0" fontId="73" fillId="14" borderId="0" applyNumberFormat="0" applyBorder="0" applyAlignment="0" applyProtection="0">
      <alignment vertical="center"/>
    </xf>
    <xf numFmtId="0" fontId="72" fillId="46" borderId="0" applyNumberFormat="0" applyBorder="0" applyAlignment="0" applyProtection="0">
      <alignment vertical="center"/>
    </xf>
    <xf numFmtId="0" fontId="103" fillId="82" borderId="0" applyNumberFormat="0" applyBorder="0" applyAlignment="0" applyProtection="0">
      <alignment vertical="center"/>
    </xf>
    <xf numFmtId="0" fontId="103" fillId="82" borderId="0" applyNumberFormat="0" applyBorder="0" applyAlignment="0" applyProtection="0">
      <alignment vertical="center"/>
    </xf>
    <xf numFmtId="0" fontId="73" fillId="14"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73" fillId="17"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73" fillId="17"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73" fillId="17"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73" fillId="17"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7"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73" fillId="17"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73" fillId="82" borderId="0" applyNumberFormat="0" applyBorder="0" applyAlignment="0" applyProtection="0">
      <alignment vertical="center"/>
    </xf>
    <xf numFmtId="0" fontId="73" fillId="14" borderId="0" applyNumberFormat="0" applyBorder="0" applyAlignment="0" applyProtection="0">
      <alignment vertical="center"/>
    </xf>
    <xf numFmtId="0" fontId="73" fillId="46" borderId="0" applyNumberFormat="0" applyBorder="0" applyAlignment="0" applyProtection="0">
      <alignment vertical="center"/>
    </xf>
    <xf numFmtId="0" fontId="73" fillId="46" borderId="0" applyNumberFormat="0" applyBorder="0" applyAlignment="0" applyProtection="0">
      <alignment vertical="center"/>
    </xf>
    <xf numFmtId="0" fontId="103" fillId="82" borderId="0" applyNumberFormat="0" applyBorder="0" applyAlignment="0" applyProtection="0">
      <alignment vertical="center"/>
    </xf>
    <xf numFmtId="0" fontId="103" fillId="82" borderId="0" applyNumberFormat="0" applyBorder="0" applyAlignment="0" applyProtection="0">
      <alignment vertical="center"/>
    </xf>
    <xf numFmtId="0" fontId="142" fillId="85" borderId="0" applyNumberFormat="0" applyBorder="0" applyAlignment="0" applyProtection="0">
      <alignment vertical="center"/>
    </xf>
    <xf numFmtId="0" fontId="103" fillId="82" borderId="0" applyNumberFormat="0" applyBorder="0" applyAlignment="0" applyProtection="0">
      <alignment vertical="center"/>
    </xf>
    <xf numFmtId="0" fontId="103" fillId="82" borderId="0" applyNumberFormat="0" applyBorder="0" applyAlignment="0" applyProtection="0">
      <alignment vertical="center"/>
    </xf>
    <xf numFmtId="0" fontId="142" fillId="85" borderId="0" applyNumberFormat="0" applyBorder="0" applyAlignment="0" applyProtection="0">
      <alignment vertical="center"/>
    </xf>
    <xf numFmtId="0" fontId="73" fillId="82" borderId="0" applyNumberFormat="0" applyBorder="0" applyAlignment="0" applyProtection="0">
      <alignment vertical="center"/>
    </xf>
    <xf numFmtId="0" fontId="73" fillId="46" borderId="0" applyNumberFormat="0" applyBorder="0" applyAlignment="0" applyProtection="0">
      <alignment vertical="center"/>
    </xf>
    <xf numFmtId="0" fontId="174" fillId="0" borderId="69" applyNumberFormat="0" applyFill="0" applyAlignment="0" applyProtection="0"/>
    <xf numFmtId="4" fontId="104" fillId="0" borderId="0" applyFont="0" applyFill="0" applyBorder="0" applyAlignment="0" applyProtection="0"/>
    <xf numFmtId="41" fontId="49" fillId="0" borderId="0" applyFont="0" applyFill="0" applyBorder="0" applyAlignment="0" applyProtection="0"/>
    <xf numFmtId="296" fontId="9" fillId="0" borderId="0" applyFont="0" applyFill="0" applyBorder="0" applyAlignment="0" applyProtection="0"/>
    <xf numFmtId="297" fontId="9" fillId="0" borderId="0" applyFont="0" applyFill="0" applyBorder="0" applyAlignment="0" applyProtection="0"/>
    <xf numFmtId="0" fontId="225" fillId="0" borderId="0" applyNumberFormat="0" applyFill="0" applyBorder="0" applyAlignment="0" applyProtection="0">
      <alignment vertical="top"/>
      <protection locked="0"/>
    </xf>
    <xf numFmtId="0" fontId="175" fillId="12" borderId="0" applyNumberFormat="0" applyBorder="0" applyAlignment="0" applyProtection="0"/>
    <xf numFmtId="0" fontId="105" fillId="0" borderId="69" applyNumberFormat="0" applyFill="0" applyAlignment="0" applyProtection="0">
      <alignment vertical="center"/>
    </xf>
    <xf numFmtId="0" fontId="33" fillId="0" borderId="71" applyNumberFormat="0" applyFill="0" applyAlignment="0" applyProtection="0">
      <alignment vertical="center"/>
    </xf>
    <xf numFmtId="0" fontId="33" fillId="0" borderId="71" applyNumberFormat="0" applyFill="0" applyAlignment="0" applyProtection="0">
      <alignment vertical="center"/>
    </xf>
    <xf numFmtId="0" fontId="105" fillId="0" borderId="69" applyNumberFormat="0" applyFill="0" applyAlignment="0" applyProtection="0">
      <alignment vertical="center"/>
    </xf>
    <xf numFmtId="0" fontId="105" fillId="0" borderId="69" applyNumberFormat="0" applyFill="0" applyAlignment="0" applyProtection="0">
      <alignment vertical="center"/>
    </xf>
    <xf numFmtId="0" fontId="105" fillId="0" borderId="69" applyNumberFormat="0" applyFill="0" applyAlignment="0" applyProtection="0">
      <alignment vertical="center"/>
    </xf>
    <xf numFmtId="0" fontId="105" fillId="0" borderId="69" applyNumberFormat="0" applyFill="0" applyAlignment="0" applyProtection="0">
      <alignment vertical="center"/>
    </xf>
    <xf numFmtId="0" fontId="105" fillId="0" borderId="70" applyNumberFormat="0" applyFill="0" applyAlignment="0" applyProtection="0">
      <alignment vertical="center"/>
    </xf>
    <xf numFmtId="209" fontId="49" fillId="0" borderId="0" applyFont="0" applyFill="0" applyBorder="0" applyAlignment="0" applyProtection="0"/>
    <xf numFmtId="43" fontId="49" fillId="0" borderId="0" applyFont="0" applyFill="0" applyBorder="0" applyAlignment="0" applyProtection="0"/>
    <xf numFmtId="298" fontId="49" fillId="0" borderId="0" applyFont="0" applyFill="0" applyBorder="0" applyAlignment="0" applyProtection="0"/>
    <xf numFmtId="298" fontId="49" fillId="0" borderId="0" applyFont="0" applyFill="0" applyBorder="0" applyAlignment="0" applyProtection="0"/>
    <xf numFmtId="202" fontId="49" fillId="0" borderId="0" applyFont="0" applyFill="0" applyBorder="0" applyAlignment="0" applyProtection="0"/>
    <xf numFmtId="203" fontId="49" fillId="0" borderId="0" applyFont="0" applyFill="0" applyBorder="0" applyAlignment="0" applyProtection="0"/>
    <xf numFmtId="0" fontId="106" fillId="53" borderId="41" applyNumberFormat="0" applyAlignment="0" applyProtection="0">
      <alignment vertical="center"/>
    </xf>
    <xf numFmtId="0" fontId="187" fillId="11" borderId="41" applyNumberFormat="0" applyAlignment="0" applyProtection="0">
      <alignment vertical="center"/>
    </xf>
    <xf numFmtId="0" fontId="187" fillId="11" borderId="41" applyNumberFormat="0" applyAlignment="0" applyProtection="0">
      <alignment vertical="center"/>
    </xf>
    <xf numFmtId="0" fontId="106" fillId="53" borderId="41" applyNumberFormat="0" applyAlignment="0" applyProtection="0">
      <alignment vertical="center"/>
    </xf>
    <xf numFmtId="0" fontId="106" fillId="53" borderId="41" applyNumberFormat="0" applyAlignment="0" applyProtection="0">
      <alignment vertical="center"/>
    </xf>
    <xf numFmtId="0" fontId="106" fillId="53" borderId="41" applyNumberFormat="0" applyAlignment="0" applyProtection="0">
      <alignment vertical="center"/>
    </xf>
    <xf numFmtId="0" fontId="106" fillId="53" borderId="41" applyNumberFormat="0" applyAlignment="0" applyProtection="0">
      <alignment vertical="center"/>
    </xf>
    <xf numFmtId="0" fontId="149" fillId="86" borderId="41" applyNumberFormat="0" applyAlignment="0" applyProtection="0">
      <alignment vertical="center"/>
    </xf>
    <xf numFmtId="0" fontId="176" fillId="53" borderId="41" applyNumberFormat="0" applyAlignment="0" applyProtection="0"/>
    <xf numFmtId="0" fontId="107" fillId="54" borderId="42" applyNumberFormat="0" applyAlignment="0" applyProtection="0">
      <alignment vertical="center"/>
    </xf>
    <xf numFmtId="0" fontId="226" fillId="8" borderId="42" applyNumberFormat="0" applyAlignment="0" applyProtection="0">
      <alignment vertical="center"/>
    </xf>
    <xf numFmtId="0" fontId="226" fillId="8" borderId="42" applyNumberFormat="0" applyAlignment="0" applyProtection="0">
      <alignment vertical="center"/>
    </xf>
    <xf numFmtId="0" fontId="107" fillId="54" borderId="42" applyNumberFormat="0" applyAlignment="0" applyProtection="0">
      <alignment vertical="center"/>
    </xf>
    <xf numFmtId="0" fontId="107" fillId="54" borderId="42" applyNumberFormat="0" applyAlignment="0" applyProtection="0">
      <alignment vertical="center"/>
    </xf>
    <xf numFmtId="0" fontId="107" fillId="54" borderId="42" applyNumberFormat="0" applyAlignment="0" applyProtection="0">
      <alignment vertical="center"/>
    </xf>
    <xf numFmtId="0" fontId="107" fillId="54" borderId="42" applyNumberFormat="0" applyAlignment="0" applyProtection="0">
      <alignment vertical="center"/>
    </xf>
    <xf numFmtId="0" fontId="148" fillId="54" borderId="42" applyNumberFormat="0" applyAlignment="0" applyProtection="0"/>
    <xf numFmtId="0" fontId="108" fillId="0" borderId="0" applyNumberFormat="0" applyFill="0" applyBorder="0" applyAlignment="0" applyProtection="0">
      <alignment vertical="center"/>
    </xf>
    <xf numFmtId="0" fontId="227" fillId="0" borderId="0" applyNumberFormat="0" applyFill="0" applyBorder="0" applyAlignment="0" applyProtection="0">
      <alignment vertical="center"/>
    </xf>
    <xf numFmtId="0" fontId="227"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77" fillId="0" borderId="0" applyNumberFormat="0" applyFill="0" applyBorder="0" applyAlignment="0" applyProtection="0"/>
    <xf numFmtId="0" fontId="178" fillId="0" borderId="53" applyNumberFormat="0" applyFill="0" applyAlignment="0" applyProtection="0"/>
    <xf numFmtId="0" fontId="110" fillId="0" borderId="53" applyNumberFormat="0" applyFill="0" applyAlignment="0" applyProtection="0">
      <alignment vertical="center"/>
    </xf>
    <xf numFmtId="0" fontId="228" fillId="0" borderId="53" applyNumberFormat="0" applyFill="0" applyAlignment="0" applyProtection="0">
      <alignment vertical="center"/>
    </xf>
    <xf numFmtId="0" fontId="228" fillId="0" borderId="53" applyNumberFormat="0" applyFill="0" applyAlignment="0" applyProtection="0">
      <alignment vertical="center"/>
    </xf>
    <xf numFmtId="0" fontId="110" fillId="0" borderId="53" applyNumberFormat="0" applyFill="0" applyAlignment="0" applyProtection="0">
      <alignment vertical="center"/>
    </xf>
    <xf numFmtId="0" fontId="110" fillId="0" borderId="53" applyNumberFormat="0" applyFill="0" applyAlignment="0" applyProtection="0">
      <alignment vertical="center"/>
    </xf>
    <xf numFmtId="0" fontId="110" fillId="0" borderId="53" applyNumberFormat="0" applyFill="0" applyAlignment="0" applyProtection="0">
      <alignment vertical="center"/>
    </xf>
    <xf numFmtId="0" fontId="110" fillId="0" borderId="53" applyNumberFormat="0" applyFill="0" applyAlignment="0" applyProtection="0">
      <alignment vertical="center"/>
    </xf>
    <xf numFmtId="0" fontId="109" fillId="0" borderId="72" applyNumberFormat="0" applyFill="0" applyAlignment="0" applyProtection="0">
      <alignment vertical="center"/>
    </xf>
    <xf numFmtId="0" fontId="4" fillId="0" borderId="1">
      <alignment vertical="center" wrapText="1"/>
    </xf>
    <xf numFmtId="231" fontId="49" fillId="0" borderId="0" applyFont="0" applyFill="0" applyBorder="0" applyAlignment="0" applyProtection="0"/>
    <xf numFmtId="232" fontId="49" fillId="0" borderId="0" applyFont="0" applyFill="0" applyBorder="0" applyAlignment="0" applyProtection="0"/>
    <xf numFmtId="207" fontId="111" fillId="0" borderId="0" applyFont="0" applyFill="0" applyBorder="0" applyAlignment="0" applyProtection="0"/>
    <xf numFmtId="208" fontId="111" fillId="0" borderId="0" applyFont="0" applyFill="0" applyBorder="0" applyAlignment="0" applyProtection="0"/>
    <xf numFmtId="210" fontId="28" fillId="0" borderId="0" applyFont="0" applyFill="0" applyBorder="0" applyAlignment="0" applyProtection="0"/>
    <xf numFmtId="211" fontId="28" fillId="0" borderId="0" applyFont="0" applyFill="0" applyBorder="0" applyAlignment="0" applyProtection="0"/>
    <xf numFmtId="0" fontId="9" fillId="0" borderId="0"/>
    <xf numFmtId="41" fontId="28" fillId="0" borderId="0" applyFont="0" applyFill="0" applyBorder="0" applyAlignment="0" applyProtection="0"/>
    <xf numFmtId="43" fontId="9" fillId="0" borderId="0" applyFont="0" applyFill="0" applyBorder="0" applyAlignment="0" applyProtection="0"/>
    <xf numFmtId="41" fontId="49" fillId="0" borderId="0" applyFont="0" applyFill="0" applyBorder="0" applyAlignment="0" applyProtection="0"/>
    <xf numFmtId="43" fontId="49" fillId="0" borderId="0" applyFont="0" applyFill="0" applyBorder="0" applyAlignment="0" applyProtection="0"/>
    <xf numFmtId="43" fontId="16" fillId="0" borderId="0" applyFont="0" applyFill="0" applyBorder="0" applyAlignment="0" applyProtection="0">
      <alignment vertical="center"/>
    </xf>
    <xf numFmtId="43" fontId="4" fillId="0" borderId="0" applyFont="0" applyFill="0" applyBorder="0" applyAlignment="0" applyProtection="0">
      <alignment vertical="center"/>
    </xf>
    <xf numFmtId="43" fontId="49" fillId="0" borderId="0" applyFont="0" applyFill="0" applyBorder="0" applyAlignment="0" applyProtection="0"/>
    <xf numFmtId="43" fontId="4" fillId="0" borderId="0" applyFont="0" applyFill="0" applyBorder="0" applyAlignment="0" applyProtection="0">
      <alignment vertical="center"/>
    </xf>
    <xf numFmtId="43" fontId="82" fillId="0" borderId="0" applyFont="0" applyFill="0" applyBorder="0" applyAlignment="0" applyProtection="0">
      <alignment vertical="center"/>
    </xf>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41" fontId="4" fillId="0" borderId="0" applyFont="0" applyFill="0" applyBorder="0" applyAlignment="0" applyProtection="0"/>
    <xf numFmtId="19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94" fontId="4" fillId="0" borderId="0" applyFont="0" applyFill="0" applyBorder="0" applyAlignment="0" applyProtection="0"/>
    <xf numFmtId="194" fontId="4" fillId="0" borderId="0" applyFont="0" applyFill="0" applyBorder="0" applyAlignment="0" applyProtection="0"/>
    <xf numFmtId="194" fontId="4" fillId="0" borderId="0" applyFont="0" applyFill="0" applyBorder="0" applyAlignment="0" applyProtection="0"/>
    <xf numFmtId="194" fontId="4" fillId="0" borderId="0" applyFont="0" applyFill="0" applyBorder="0" applyAlignment="0" applyProtection="0"/>
    <xf numFmtId="43" fontId="49" fillId="0" borderId="0" applyFont="0" applyFill="0" applyBorder="0" applyAlignment="0" applyProtection="0"/>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xf numFmtId="43" fontId="52" fillId="0" borderId="0" applyFont="0" applyFill="0" applyBorder="0" applyAlignment="0" applyProtection="0">
      <alignment vertical="center"/>
    </xf>
    <xf numFmtId="43" fontId="4" fillId="0" borderId="0" applyFont="0" applyFill="0" applyBorder="0" applyAlignment="0" applyProtection="0"/>
    <xf numFmtId="43" fontId="52" fillId="0" borderId="0" applyFont="0" applyFill="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9" fillId="0" borderId="0" applyFont="0" applyFill="0" applyBorder="0" applyAlignment="0" applyProtection="0"/>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9" fillId="0" borderId="0" applyFont="0" applyFill="0" applyBorder="0" applyAlignment="0" applyProtection="0"/>
    <xf numFmtId="43" fontId="4" fillId="0" borderId="0" applyFont="0" applyFill="0" applyBorder="0" applyAlignment="0" applyProtection="0">
      <alignment vertical="center"/>
    </xf>
    <xf numFmtId="43" fontId="49" fillId="0" borderId="0" applyFont="0" applyFill="0" applyBorder="0" applyAlignment="0" applyProtection="0"/>
    <xf numFmtId="43" fontId="4" fillId="0" borderId="0" applyFont="0" applyFill="0" applyBorder="0" applyAlignment="0" applyProtection="0">
      <alignment vertical="center"/>
    </xf>
    <xf numFmtId="43" fontId="49" fillId="0" borderId="0" applyFont="0" applyFill="0" applyBorder="0" applyAlignment="0" applyProtection="0"/>
    <xf numFmtId="43" fontId="4" fillId="0" borderId="0" applyFont="0" applyFill="0" applyBorder="0" applyAlignment="0" applyProtection="0">
      <alignment vertical="center"/>
    </xf>
    <xf numFmtId="43" fontId="49" fillId="0" borderId="0" applyFont="0" applyFill="0" applyBorder="0" applyAlignment="0" applyProtection="0"/>
    <xf numFmtId="43" fontId="4" fillId="0" borderId="0" applyFont="0" applyFill="0" applyBorder="0" applyAlignment="0" applyProtection="0"/>
    <xf numFmtId="43" fontId="16" fillId="0" borderId="0" applyFont="0" applyFill="0" applyBorder="0" applyAlignment="0" applyProtection="0">
      <alignment vertical="center"/>
    </xf>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43" fontId="4" fillId="0" borderId="0" applyFont="0" applyFill="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9" fillId="0" borderId="0" applyFont="0" applyFill="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193" fontId="4" fillId="0" borderId="0" applyFont="0" applyFill="0" applyBorder="0" applyAlignment="0" applyProtection="0"/>
    <xf numFmtId="43" fontId="4" fillId="0" borderId="0" applyFont="0" applyFill="0" applyBorder="0" applyAlignment="0" applyProtection="0"/>
    <xf numFmtId="43" fontId="49" fillId="0" borderId="0" applyFont="0" applyFill="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43" fontId="16" fillId="0" borderId="0" applyFont="0" applyFill="0" applyBorder="0" applyAlignment="0" applyProtection="0">
      <alignment vertical="center"/>
    </xf>
    <xf numFmtId="43" fontId="16" fillId="0" borderId="0" applyFont="0" applyFill="0" applyBorder="0" applyAlignment="0" applyProtection="0">
      <alignment vertical="center"/>
    </xf>
    <xf numFmtId="43" fontId="49" fillId="0" borderId="0" applyFont="0" applyFill="0" applyBorder="0" applyAlignment="0" applyProtection="0">
      <alignment vertical="center"/>
    </xf>
    <xf numFmtId="43" fontId="6" fillId="0" borderId="0" applyFont="0" applyFill="0" applyBorder="0" applyAlignment="0" applyProtection="0">
      <alignment vertical="center"/>
    </xf>
    <xf numFmtId="43" fontId="16" fillId="0" borderId="0" applyFont="0" applyFill="0" applyBorder="0" applyAlignment="0" applyProtection="0">
      <alignment vertical="center"/>
    </xf>
    <xf numFmtId="43" fontId="4" fillId="0" borderId="0" applyFont="0" applyFill="0" applyBorder="0" applyAlignment="0" applyProtection="0"/>
    <xf numFmtId="43" fontId="16" fillId="0" borderId="0" applyFont="0" applyFill="0" applyBorder="0" applyAlignment="0" applyProtection="0">
      <alignment vertical="center"/>
    </xf>
    <xf numFmtId="43" fontId="49" fillId="0" borderId="0" applyFont="0" applyFill="0" applyBorder="0" applyAlignment="0" applyProtection="0">
      <alignment vertical="center"/>
    </xf>
    <xf numFmtId="203" fontId="4" fillId="0" borderId="0" applyFont="0" applyFill="0" applyBorder="0" applyAlignment="0" applyProtection="0"/>
    <xf numFmtId="43" fontId="49" fillId="0" borderId="0" applyFont="0" applyFill="0" applyBorder="0" applyAlignment="0" applyProtection="0">
      <alignment vertical="center"/>
    </xf>
    <xf numFmtId="43" fontId="49" fillId="0" borderId="0" applyFont="0" applyFill="0" applyBorder="0" applyAlignment="0" applyProtection="0">
      <alignment vertical="center"/>
    </xf>
    <xf numFmtId="203" fontId="4" fillId="0" borderId="0" applyFont="0" applyFill="0" applyBorder="0" applyAlignment="0" applyProtection="0"/>
    <xf numFmtId="43" fontId="49" fillId="0" borderId="0" applyFont="0" applyFill="0" applyBorder="0" applyAlignment="0" applyProtection="0">
      <alignment vertical="center"/>
    </xf>
    <xf numFmtId="43" fontId="49" fillId="0" borderId="0" applyFont="0" applyFill="0" applyBorder="0" applyAlignment="0" applyProtection="0">
      <alignment vertical="center"/>
    </xf>
    <xf numFmtId="200" fontId="4"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1" fontId="6" fillId="0" borderId="0" applyFont="0" applyFill="0" applyBorder="0" applyAlignment="0" applyProtection="0">
      <alignment vertical="center"/>
    </xf>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9" fillId="0" borderId="0" applyFont="0" applyFill="0" applyBorder="0" applyAlignment="0" applyProtection="0"/>
    <xf numFmtId="41" fontId="4" fillId="0" borderId="0" applyFont="0" applyFill="0" applyBorder="0" applyAlignment="0" applyProtection="0"/>
    <xf numFmtId="194" fontId="4" fillId="0" borderId="0" applyFont="0" applyFill="0" applyBorder="0" applyAlignment="0" applyProtection="0">
      <alignment vertical="center"/>
    </xf>
    <xf numFmtId="194" fontId="4" fillId="0" borderId="0" applyFont="0" applyFill="0" applyBorder="0" applyAlignment="0" applyProtection="0">
      <alignment vertical="center"/>
    </xf>
    <xf numFmtId="41" fontId="49"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alignment vertical="center"/>
    </xf>
    <xf numFmtId="41" fontId="4" fillId="0" borderId="0" applyFont="0" applyFill="0" applyBorder="0" applyAlignment="0" applyProtection="0"/>
    <xf numFmtId="41" fontId="49" fillId="0" borderId="0" applyFont="0" applyFill="0" applyBorder="0" applyAlignment="0" applyProtection="0">
      <alignment vertical="center"/>
    </xf>
    <xf numFmtId="0" fontId="112" fillId="0" borderId="0"/>
    <xf numFmtId="0" fontId="76" fillId="87" borderId="0" applyNumberFormat="0" applyBorder="0" applyAlignment="0" applyProtection="0"/>
    <xf numFmtId="0" fontId="76" fillId="87" borderId="0" applyNumberFormat="0" applyBorder="0" applyAlignment="0" applyProtection="0"/>
    <xf numFmtId="0" fontId="76" fillId="87"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76" fillId="88" borderId="0" applyNumberFormat="0" applyBorder="0" applyAlignment="0" applyProtection="0"/>
    <xf numFmtId="0" fontId="76" fillId="88" borderId="0" applyNumberFormat="0" applyBorder="0" applyAlignment="0" applyProtection="0"/>
    <xf numFmtId="0" fontId="76" fillId="88" borderId="0" applyNumberFormat="0" applyBorder="0" applyAlignment="0" applyProtection="0"/>
    <xf numFmtId="0" fontId="76" fillId="89" borderId="0" applyNumberFormat="0" applyBorder="0" applyAlignment="0" applyProtection="0"/>
    <xf numFmtId="0" fontId="76" fillId="89" borderId="0" applyNumberFormat="0" applyBorder="0" applyAlignment="0" applyProtection="0"/>
    <xf numFmtId="0" fontId="76" fillId="89" borderId="0" applyNumberFormat="0" applyBorder="0" applyAlignment="0" applyProtection="0"/>
    <xf numFmtId="0" fontId="76" fillId="89" borderId="0" applyNumberFormat="0" applyBorder="0" applyAlignment="0" applyProtection="0"/>
    <xf numFmtId="0" fontId="81" fillId="80" borderId="0" applyNumberFormat="0" applyBorder="0" applyAlignment="0" applyProtection="0">
      <alignment vertical="center"/>
    </xf>
    <xf numFmtId="0" fontId="186" fillId="30" borderId="0" applyNumberFormat="0" applyBorder="0" applyAlignment="0" applyProtection="0">
      <alignment vertical="center"/>
    </xf>
    <xf numFmtId="0" fontId="186" fillId="30" borderId="0" applyNumberFormat="0" applyBorder="0" applyAlignment="0" applyProtection="0">
      <alignment vertical="center"/>
    </xf>
    <xf numFmtId="0" fontId="81" fillId="80" borderId="0" applyNumberFormat="0" applyBorder="0" applyAlignment="0" applyProtection="0">
      <alignment vertical="center"/>
    </xf>
    <xf numFmtId="0" fontId="81" fillId="80" borderId="0" applyNumberFormat="0" applyBorder="0" applyAlignment="0" applyProtection="0">
      <alignment vertical="center"/>
    </xf>
    <xf numFmtId="0" fontId="81" fillId="80" borderId="0" applyNumberFormat="0" applyBorder="0" applyAlignment="0" applyProtection="0">
      <alignment vertical="center"/>
    </xf>
    <xf numFmtId="0" fontId="81" fillId="80" borderId="0" applyNumberFormat="0" applyBorder="0" applyAlignment="0" applyProtection="0">
      <alignment vertical="center"/>
    </xf>
    <xf numFmtId="0" fontId="81" fillId="82" borderId="0" applyNumberFormat="0" applyBorder="0" applyAlignment="0" applyProtection="0">
      <alignment vertical="center"/>
    </xf>
    <xf numFmtId="0" fontId="81" fillId="65" borderId="0" applyNumberFormat="0" applyBorder="0" applyAlignment="0" applyProtection="0">
      <alignment vertical="center"/>
    </xf>
    <xf numFmtId="0" fontId="186" fillId="90" borderId="0" applyNumberFormat="0" applyBorder="0" applyAlignment="0" applyProtection="0">
      <alignment vertical="center"/>
    </xf>
    <xf numFmtId="0" fontId="186" fillId="90" borderId="0" applyNumberFormat="0" applyBorder="0" applyAlignment="0" applyProtection="0">
      <alignment vertical="center"/>
    </xf>
    <xf numFmtId="0" fontId="81" fillId="65" borderId="0" applyNumberFormat="0" applyBorder="0" applyAlignment="0" applyProtection="0">
      <alignment vertical="center"/>
    </xf>
    <xf numFmtId="0" fontId="81" fillId="65" borderId="0" applyNumberFormat="0" applyBorder="0" applyAlignment="0" applyProtection="0">
      <alignment vertical="center"/>
    </xf>
    <xf numFmtId="0" fontId="81" fillId="65" borderId="0" applyNumberFormat="0" applyBorder="0" applyAlignment="0" applyProtection="0">
      <alignment vertical="center"/>
    </xf>
    <xf numFmtId="0" fontId="81" fillId="65" borderId="0" applyNumberFormat="0" applyBorder="0" applyAlignment="0" applyProtection="0">
      <alignment vertical="center"/>
    </xf>
    <xf numFmtId="0" fontId="81" fillId="34" borderId="0" applyNumberFormat="0" applyBorder="0" applyAlignment="0" applyProtection="0">
      <alignment vertical="center"/>
    </xf>
    <xf numFmtId="0" fontId="81" fillId="66" borderId="0" applyNumberFormat="0" applyBorder="0" applyAlignment="0" applyProtection="0">
      <alignment vertical="center"/>
    </xf>
    <xf numFmtId="0" fontId="186" fillId="91" borderId="0" applyNumberFormat="0" applyBorder="0" applyAlignment="0" applyProtection="0">
      <alignment vertical="center"/>
    </xf>
    <xf numFmtId="0" fontId="186" fillId="91" borderId="0" applyNumberFormat="0" applyBorder="0" applyAlignment="0" applyProtection="0">
      <alignment vertical="center"/>
    </xf>
    <xf numFmtId="0" fontId="81" fillId="66" borderId="0" applyNumberFormat="0" applyBorder="0" applyAlignment="0" applyProtection="0">
      <alignment vertical="center"/>
    </xf>
    <xf numFmtId="0" fontId="81" fillId="66" borderId="0" applyNumberFormat="0" applyBorder="0" applyAlignment="0" applyProtection="0">
      <alignment vertical="center"/>
    </xf>
    <xf numFmtId="0" fontId="81" fillId="66" borderId="0" applyNumberFormat="0" applyBorder="0" applyAlignment="0" applyProtection="0">
      <alignment vertical="center"/>
    </xf>
    <xf numFmtId="0" fontId="81" fillId="66" borderId="0" applyNumberFormat="0" applyBorder="0" applyAlignment="0" applyProtection="0">
      <alignment vertical="center"/>
    </xf>
    <xf numFmtId="0" fontId="81" fillId="27" borderId="0" applyNumberFormat="0" applyBorder="0" applyAlignment="0" applyProtection="0">
      <alignment vertical="center"/>
    </xf>
    <xf numFmtId="0" fontId="81" fillId="31" borderId="0" applyNumberFormat="0" applyBorder="0" applyAlignment="0" applyProtection="0">
      <alignment vertical="center"/>
    </xf>
    <xf numFmtId="0" fontId="186" fillId="39" borderId="0" applyNumberFormat="0" applyBorder="0" applyAlignment="0" applyProtection="0">
      <alignment vertical="center"/>
    </xf>
    <xf numFmtId="0" fontId="186" fillId="39" borderId="0" applyNumberFormat="0" applyBorder="0" applyAlignment="0" applyProtection="0">
      <alignment vertical="center"/>
    </xf>
    <xf numFmtId="0" fontId="81" fillId="31" borderId="0" applyNumberFormat="0" applyBorder="0" applyAlignment="0" applyProtection="0">
      <alignment vertical="center"/>
    </xf>
    <xf numFmtId="0" fontId="81" fillId="31" borderId="0" applyNumberFormat="0" applyBorder="0" applyAlignment="0" applyProtection="0">
      <alignment vertical="center"/>
    </xf>
    <xf numFmtId="0" fontId="81" fillId="31" borderId="0" applyNumberFormat="0" applyBorder="0" applyAlignment="0" applyProtection="0">
      <alignment vertical="center"/>
    </xf>
    <xf numFmtId="0" fontId="81" fillId="31" borderId="0" applyNumberFormat="0" applyBorder="0" applyAlignment="0" applyProtection="0">
      <alignment vertical="center"/>
    </xf>
    <xf numFmtId="0" fontId="81" fillId="81" borderId="0" applyNumberFormat="0" applyBorder="0" applyAlignment="0" applyProtection="0">
      <alignment vertical="center"/>
    </xf>
    <xf numFmtId="0" fontId="81" fillId="32" borderId="0" applyNumberFormat="0" applyBorder="0" applyAlignment="0" applyProtection="0">
      <alignment vertical="center"/>
    </xf>
    <xf numFmtId="0" fontId="186" fillId="30" borderId="0" applyNumberFormat="0" applyBorder="0" applyAlignment="0" applyProtection="0">
      <alignment vertical="center"/>
    </xf>
    <xf numFmtId="0" fontId="186" fillId="30" borderId="0" applyNumberFormat="0" applyBorder="0" applyAlignment="0" applyProtection="0">
      <alignment vertical="center"/>
    </xf>
    <xf numFmtId="0" fontId="81" fillId="32" borderId="0" applyNumberFormat="0" applyBorder="0" applyAlignment="0" applyProtection="0">
      <alignment vertical="center"/>
    </xf>
    <xf numFmtId="0" fontId="81" fillId="32" borderId="0" applyNumberFormat="0" applyBorder="0" applyAlignment="0" applyProtection="0">
      <alignment vertical="center"/>
    </xf>
    <xf numFmtId="0" fontId="81" fillId="32" borderId="0" applyNumberFormat="0" applyBorder="0" applyAlignment="0" applyProtection="0">
      <alignment vertical="center"/>
    </xf>
    <xf numFmtId="0" fontId="81" fillId="32" borderId="0" applyNumberFormat="0" applyBorder="0" applyAlignment="0" applyProtection="0">
      <alignment vertical="center"/>
    </xf>
    <xf numFmtId="0" fontId="81" fillId="34" borderId="0" applyNumberFormat="0" applyBorder="0" applyAlignment="0" applyProtection="0">
      <alignment vertical="center"/>
    </xf>
    <xf numFmtId="0" fontId="186" fillId="78" borderId="0" applyNumberFormat="0" applyBorder="0" applyAlignment="0" applyProtection="0">
      <alignment vertical="center"/>
    </xf>
    <xf numFmtId="0" fontId="186" fillId="78" borderId="0" applyNumberFormat="0" applyBorder="0" applyAlignment="0" applyProtection="0">
      <alignment vertical="center"/>
    </xf>
    <xf numFmtId="0" fontId="81" fillId="34" borderId="0" applyNumberFormat="0" applyBorder="0" applyAlignment="0" applyProtection="0">
      <alignment vertical="center"/>
    </xf>
    <xf numFmtId="0" fontId="81" fillId="34" borderId="0" applyNumberFormat="0" applyBorder="0" applyAlignment="0" applyProtection="0">
      <alignment vertical="center"/>
    </xf>
    <xf numFmtId="0" fontId="81" fillId="34" borderId="0" applyNumberFormat="0" applyBorder="0" applyAlignment="0" applyProtection="0">
      <alignment vertical="center"/>
    </xf>
    <xf numFmtId="0" fontId="81" fillId="34" borderId="0" applyNumberFormat="0" applyBorder="0" applyAlignment="0" applyProtection="0">
      <alignment vertical="center"/>
    </xf>
    <xf numFmtId="0" fontId="81" fillId="65" borderId="0" applyNumberFormat="0" applyBorder="0" applyAlignment="0" applyProtection="0">
      <alignment vertical="center"/>
    </xf>
    <xf numFmtId="0" fontId="113" fillId="28" borderId="0" applyNumberFormat="0" applyBorder="0" applyAlignment="0" applyProtection="0">
      <alignment vertical="center"/>
    </xf>
    <xf numFmtId="0" fontId="224" fillId="25" borderId="0" applyNumberFormat="0" applyBorder="0" applyAlignment="0" applyProtection="0">
      <alignment vertical="center"/>
    </xf>
    <xf numFmtId="0" fontId="224" fillId="25" borderId="0" applyNumberFormat="0" applyBorder="0" applyAlignment="0" applyProtection="0">
      <alignment vertical="center"/>
    </xf>
    <xf numFmtId="0" fontId="113" fillId="28" borderId="0" applyNumberFormat="0" applyBorder="0" applyAlignment="0" applyProtection="0">
      <alignment vertical="center"/>
    </xf>
    <xf numFmtId="0" fontId="113" fillId="28" borderId="0" applyNumberFormat="0" applyBorder="0" applyAlignment="0" applyProtection="0">
      <alignment vertical="center"/>
    </xf>
    <xf numFmtId="0" fontId="113" fillId="28" borderId="0" applyNumberFormat="0" applyBorder="0" applyAlignment="0" applyProtection="0">
      <alignment vertical="center"/>
    </xf>
    <xf numFmtId="0" fontId="113" fillId="28" borderId="0" applyNumberFormat="0" applyBorder="0" applyAlignment="0" applyProtection="0">
      <alignment vertical="center"/>
    </xf>
    <xf numFmtId="0" fontId="230" fillId="28" borderId="0" applyNumberFormat="0" applyBorder="0" applyAlignment="0" applyProtection="0">
      <alignment vertical="center"/>
    </xf>
    <xf numFmtId="0" fontId="114" fillId="53" borderId="58" applyNumberFormat="0" applyAlignment="0" applyProtection="0">
      <alignment vertical="center"/>
    </xf>
    <xf numFmtId="0" fontId="229" fillId="11" borderId="58" applyNumberFormat="0" applyAlignment="0" applyProtection="0">
      <alignment vertical="center"/>
    </xf>
    <xf numFmtId="0" fontId="229" fillId="11" borderId="58" applyNumberFormat="0" applyAlignment="0" applyProtection="0">
      <alignment vertical="center"/>
    </xf>
    <xf numFmtId="0" fontId="114" fillId="53" borderId="58" applyNumberFormat="0" applyAlignment="0" applyProtection="0">
      <alignment vertical="center"/>
    </xf>
    <xf numFmtId="0" fontId="114" fillId="53" borderId="58" applyNumberFormat="0" applyAlignment="0" applyProtection="0">
      <alignment vertical="center"/>
    </xf>
    <xf numFmtId="0" fontId="114" fillId="53" borderId="58" applyNumberFormat="0" applyAlignment="0" applyProtection="0">
      <alignment vertical="center"/>
    </xf>
    <xf numFmtId="0" fontId="114" fillId="53" borderId="58" applyNumberFormat="0" applyAlignment="0" applyProtection="0">
      <alignment vertical="center"/>
    </xf>
    <xf numFmtId="0" fontId="114" fillId="86" borderId="58" applyNumberFormat="0" applyAlignment="0" applyProtection="0">
      <alignment vertical="center"/>
    </xf>
    <xf numFmtId="0" fontId="115" fillId="19" borderId="41" applyNumberFormat="0" applyAlignment="0" applyProtection="0">
      <alignment vertical="center"/>
    </xf>
    <xf numFmtId="0" fontId="222" fillId="13" borderId="41" applyNumberFormat="0" applyAlignment="0" applyProtection="0">
      <alignment vertical="center"/>
    </xf>
    <xf numFmtId="0" fontId="222" fillId="13" borderId="41" applyNumberFormat="0" applyAlignment="0" applyProtection="0">
      <alignment vertical="center"/>
    </xf>
    <xf numFmtId="0" fontId="115" fillId="19" borderId="41" applyNumberFormat="0" applyAlignment="0" applyProtection="0">
      <alignment vertical="center"/>
    </xf>
    <xf numFmtId="0" fontId="115" fillId="19" borderId="41" applyNumberFormat="0" applyAlignment="0" applyProtection="0">
      <alignment vertical="center"/>
    </xf>
    <xf numFmtId="0" fontId="115" fillId="19" borderId="41" applyNumberFormat="0" applyAlignment="0" applyProtection="0">
      <alignment vertical="center"/>
    </xf>
    <xf numFmtId="0" fontId="115" fillId="19" borderId="41" applyNumberFormat="0" applyAlignment="0" applyProtection="0">
      <alignment vertical="center"/>
    </xf>
    <xf numFmtId="0" fontId="115" fillId="28" borderId="41" applyNumberFormat="0" applyAlignment="0" applyProtection="0">
      <alignment vertical="center"/>
    </xf>
    <xf numFmtId="0" fontId="179" fillId="53" borderId="58" applyNumberFormat="0" applyAlignment="0" applyProtection="0"/>
    <xf numFmtId="0" fontId="180" fillId="19" borderId="41" applyNumberFormat="0" applyAlignment="0" applyProtection="0"/>
    <xf numFmtId="0" fontId="181" fillId="0" borderId="0" applyNumberFormat="0" applyFill="0" applyBorder="0" applyAlignment="0" applyProtection="0"/>
    <xf numFmtId="203" fontId="49" fillId="0" borderId="0" applyFont="0" applyFill="0" applyBorder="0" applyAlignment="0" applyProtection="0"/>
    <xf numFmtId="233" fontId="104" fillId="0" borderId="0" applyFont="0" applyFill="0" applyBorder="0" applyAlignment="0" applyProtection="0"/>
    <xf numFmtId="299" fontId="9" fillId="0" borderId="0" applyFont="0" applyFill="0" applyBorder="0" applyAlignment="0" applyProtection="0"/>
    <xf numFmtId="300" fontId="9" fillId="0" borderId="0" applyFont="0" applyFill="0" applyBorder="0" applyAlignment="0" applyProtection="0"/>
    <xf numFmtId="0" fontId="214" fillId="0" borderId="0"/>
    <xf numFmtId="0" fontId="50" fillId="0" borderId="0"/>
    <xf numFmtId="0" fontId="50" fillId="0" borderId="0"/>
    <xf numFmtId="0" fontId="28" fillId="0" borderId="0"/>
    <xf numFmtId="0" fontId="49" fillId="0" borderId="0"/>
    <xf numFmtId="0" fontId="49" fillId="0" borderId="0"/>
    <xf numFmtId="0" fontId="82" fillId="0" borderId="0">
      <alignment vertical="top"/>
    </xf>
    <xf numFmtId="0" fontId="82" fillId="0" borderId="0">
      <alignment vertical="top"/>
    </xf>
    <xf numFmtId="0" fontId="82" fillId="0" borderId="0">
      <alignment vertical="top"/>
    </xf>
    <xf numFmtId="0" fontId="82" fillId="0" borderId="0">
      <alignment vertical="top"/>
    </xf>
    <xf numFmtId="0" fontId="82" fillId="0" borderId="0">
      <alignment vertical="top"/>
    </xf>
    <xf numFmtId="0" fontId="49" fillId="0" borderId="0"/>
    <xf numFmtId="0" fontId="143" fillId="0" borderId="0"/>
    <xf numFmtId="9" fontId="223" fillId="0" borderId="0" applyFont="0" applyFill="0" applyBorder="0" applyAlignment="0" applyProtection="0"/>
    <xf numFmtId="0" fontId="4" fillId="0" borderId="0"/>
    <xf numFmtId="0" fontId="49" fillId="0" borderId="0"/>
    <xf numFmtId="40" fontId="67" fillId="0" borderId="0" applyFont="0" applyFill="0" applyBorder="0" applyAlignment="0" applyProtection="0"/>
    <xf numFmtId="38" fontId="67" fillId="0" borderId="0" applyFont="0" applyFill="0" applyBorder="0" applyAlignment="0" applyProtection="0"/>
    <xf numFmtId="0" fontId="182" fillId="28" borderId="0" applyNumberFormat="0" applyBorder="0" applyAlignment="0" applyProtection="0"/>
    <xf numFmtId="0" fontId="4" fillId="22" borderId="57" applyNumberFormat="0" applyFont="0" applyAlignment="0" applyProtection="0">
      <alignment vertical="center"/>
    </xf>
    <xf numFmtId="0" fontId="28" fillId="15" borderId="57" applyNumberFormat="0" applyFont="0" applyAlignment="0" applyProtection="0">
      <alignment vertical="center"/>
    </xf>
    <xf numFmtId="0" fontId="28" fillId="15" borderId="57" applyNumberFormat="0" applyFont="0" applyAlignment="0" applyProtection="0">
      <alignment vertical="center"/>
    </xf>
    <xf numFmtId="0" fontId="4" fillId="22" borderId="57" applyNumberFormat="0" applyFont="0" applyAlignment="0" applyProtection="0">
      <alignment vertical="center"/>
    </xf>
    <xf numFmtId="0" fontId="4" fillId="22" borderId="57" applyNumberFormat="0" applyFont="0" applyAlignment="0" applyProtection="0">
      <alignment vertical="center"/>
    </xf>
    <xf numFmtId="0" fontId="4" fillId="22" borderId="57" applyNumberFormat="0" applyFont="0" applyAlignment="0" applyProtection="0">
      <alignment vertical="center"/>
    </xf>
    <xf numFmtId="0" fontId="4" fillId="22" borderId="57" applyNumberFormat="0" applyFont="0" applyAlignment="0" applyProtection="0">
      <alignment vertical="center"/>
    </xf>
    <xf numFmtId="176" fontId="49" fillId="0" borderId="1" applyNumberFormat="0"/>
    <xf numFmtId="176" fontId="49" fillId="0" borderId="1" applyNumberFormat="0"/>
    <xf numFmtId="176" fontId="49" fillId="0" borderId="1" applyNumberFormat="0"/>
    <xf numFmtId="176" fontId="49" fillId="0" borderId="1" applyNumberFormat="0"/>
    <xf numFmtId="176" fontId="49" fillId="0" borderId="1" applyNumberFormat="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xf numFmtId="0" fontId="4" fillId="0" borderId="0"/>
    <xf numFmtId="0" fontId="4" fillId="0" borderId="0"/>
    <xf numFmtId="0" fontId="50" fillId="0" borderId="0"/>
    <xf numFmtId="0" fontId="4" fillId="0" borderId="0"/>
    <xf numFmtId="0" fontId="256" fillId="0" borderId="0"/>
    <xf numFmtId="0" fontId="4" fillId="0" borderId="0">
      <protection locked="0"/>
    </xf>
  </cellStyleXfs>
  <cellXfs count="657">
    <xf numFmtId="0" fontId="0" fillId="0" borderId="0" xfId="0">
      <alignment vertical="center"/>
    </xf>
    <xf numFmtId="0" fontId="4" fillId="0" borderId="0" xfId="4"/>
    <xf numFmtId="0" fontId="4" fillId="0" borderId="1" xfId="4" applyBorder="1"/>
    <xf numFmtId="0" fontId="7" fillId="0" borderId="1" xfId="4" applyFont="1" applyBorder="1"/>
    <xf numFmtId="4" fontId="7" fillId="0" borderId="1" xfId="4" applyNumberFormat="1" applyFont="1" applyBorder="1"/>
    <xf numFmtId="4" fontId="4" fillId="0" borderId="1" xfId="4" applyNumberFormat="1" applyBorder="1"/>
    <xf numFmtId="0" fontId="7" fillId="0" borderId="0" xfId="4" applyFont="1"/>
    <xf numFmtId="0" fontId="8" fillId="0" borderId="1" xfId="4" applyFont="1" applyBorder="1"/>
    <xf numFmtId="0" fontId="8" fillId="0" borderId="0" xfId="4" applyFont="1"/>
    <xf numFmtId="0" fontId="10" fillId="0" borderId="0" xfId="0" applyFont="1">
      <alignment vertical="center"/>
    </xf>
    <xf numFmtId="177" fontId="10" fillId="0" borderId="1" xfId="0" applyNumberFormat="1" applyFont="1" applyBorder="1" applyAlignment="1">
      <alignment vertical="top"/>
    </xf>
    <xf numFmtId="177" fontId="10" fillId="0" borderId="0" xfId="0" applyNumberFormat="1" applyFont="1" applyAlignment="1">
      <alignment vertical="top"/>
    </xf>
    <xf numFmtId="10" fontId="10" fillId="0" borderId="1" xfId="2" applyNumberFormat="1" applyFont="1" applyBorder="1" applyAlignment="1">
      <alignment vertical="top"/>
    </xf>
    <xf numFmtId="0" fontId="13" fillId="0" borderId="0" xfId="0" applyFont="1">
      <alignment vertical="center"/>
    </xf>
    <xf numFmtId="0" fontId="10" fillId="0" borderId="1" xfId="0" applyFont="1" applyBorder="1" applyAlignment="1">
      <alignment horizontal="center" vertical="center" wrapText="1"/>
    </xf>
    <xf numFmtId="177" fontId="10" fillId="0" borderId="1" xfId="0" applyNumberFormat="1" applyFont="1" applyBorder="1" applyAlignment="1">
      <alignment horizontal="center" vertical="center" wrapText="1"/>
    </xf>
    <xf numFmtId="43" fontId="10" fillId="0" borderId="0" xfId="1" applyFont="1">
      <alignment vertical="center"/>
    </xf>
    <xf numFmtId="10" fontId="10" fillId="0" borderId="0" xfId="2" applyNumberFormat="1" applyFont="1">
      <alignment vertical="center"/>
    </xf>
    <xf numFmtId="0" fontId="10" fillId="0" borderId="0" xfId="0" applyFont="1" applyAlignment="1">
      <alignment horizontal="right" vertical="center"/>
    </xf>
    <xf numFmtId="0" fontId="10" fillId="0" borderId="0" xfId="0" applyFont="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0" fillId="0" borderId="12" xfId="0" applyFont="1" applyBorder="1" applyAlignment="1">
      <alignment horizontal="center" vertical="center"/>
    </xf>
    <xf numFmtId="0" fontId="17" fillId="0" borderId="15" xfId="0" applyFont="1" applyBorder="1" applyAlignment="1">
      <alignment horizontal="center" vertical="center"/>
    </xf>
    <xf numFmtId="0" fontId="10" fillId="0" borderId="17" xfId="0" applyFont="1" applyBorder="1" applyAlignment="1">
      <alignment horizontal="center" vertical="center"/>
    </xf>
    <xf numFmtId="176" fontId="0" fillId="0" borderId="0" xfId="0" applyNumberFormat="1">
      <alignment vertical="center"/>
    </xf>
    <xf numFmtId="178" fontId="10" fillId="0" borderId="1" xfId="0" applyNumberFormat="1" applyFont="1" applyBorder="1" applyAlignment="1">
      <alignment vertical="top"/>
    </xf>
    <xf numFmtId="43" fontId="10" fillId="0" borderId="1" xfId="1" applyFont="1" applyBorder="1" applyAlignment="1">
      <alignment vertical="top"/>
    </xf>
    <xf numFmtId="43" fontId="10" fillId="3" borderId="0" xfId="1" applyFont="1" applyFill="1">
      <alignment vertical="center"/>
    </xf>
    <xf numFmtId="0" fontId="11" fillId="0" borderId="0" xfId="0" applyFont="1" applyAlignment="1">
      <alignment horizontal="center" vertical="center"/>
    </xf>
    <xf numFmtId="0" fontId="10" fillId="0" borderId="18" xfId="0" applyFont="1" applyBorder="1" applyAlignment="1">
      <alignment horizontal="center" vertical="center"/>
    </xf>
    <xf numFmtId="0" fontId="20" fillId="0" borderId="0" xfId="0" applyFont="1">
      <alignment vertical="center"/>
    </xf>
    <xf numFmtId="0" fontId="0" fillId="0" borderId="1" xfId="0" applyBorder="1">
      <alignment vertical="center"/>
    </xf>
    <xf numFmtId="0" fontId="0" fillId="0" borderId="1" xfId="0"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lignment vertical="center"/>
    </xf>
    <xf numFmtId="31" fontId="20" fillId="0" borderId="1" xfId="0" applyNumberFormat="1" applyFont="1" applyBorder="1">
      <alignment vertical="center"/>
    </xf>
    <xf numFmtId="43" fontId="22" fillId="0" borderId="1" xfId="1" applyFont="1" applyBorder="1">
      <alignment vertical="center"/>
    </xf>
    <xf numFmtId="0" fontId="20" fillId="0" borderId="1" xfId="0" quotePrefix="1" applyFont="1" applyBorder="1" applyAlignment="1">
      <alignment horizontal="center" vertical="center"/>
    </xf>
    <xf numFmtId="31" fontId="20" fillId="0" borderId="1" xfId="0" applyNumberFormat="1" applyFont="1" applyBorder="1" applyAlignment="1">
      <alignment vertical="center" wrapText="1"/>
    </xf>
    <xf numFmtId="4" fontId="20" fillId="0" borderId="1" xfId="0" applyNumberFormat="1" applyFont="1" applyBorder="1">
      <alignment vertical="center"/>
    </xf>
    <xf numFmtId="4" fontId="10" fillId="0" borderId="0" xfId="0" applyNumberFormat="1" applyFont="1">
      <alignment vertical="center"/>
    </xf>
    <xf numFmtId="31" fontId="20" fillId="0" borderId="1" xfId="0" applyNumberFormat="1" applyFont="1" applyBorder="1" applyAlignment="1">
      <alignment horizontal="center" vertical="center"/>
    </xf>
    <xf numFmtId="0" fontId="20" fillId="0" borderId="6" xfId="0" applyFont="1" applyBorder="1" applyAlignment="1">
      <alignment horizontal="center" vertical="center"/>
    </xf>
    <xf numFmtId="0" fontId="10" fillId="0" borderId="30" xfId="0" applyFont="1" applyBorder="1" applyAlignment="1">
      <alignment horizontal="center" vertical="center"/>
    </xf>
    <xf numFmtId="0" fontId="17" fillId="0" borderId="31" xfId="0" applyFont="1" applyBorder="1" applyAlignment="1">
      <alignment horizontal="center" vertical="center"/>
    </xf>
    <xf numFmtId="0" fontId="18" fillId="0" borderId="28" xfId="0" applyFont="1" applyBorder="1" applyAlignment="1">
      <alignment horizontal="center" vertical="center"/>
    </xf>
    <xf numFmtId="184" fontId="10" fillId="0" borderId="13" xfId="0" applyNumberFormat="1" applyFont="1" applyBorder="1" applyAlignment="1">
      <alignment horizontal="center" vertical="center"/>
    </xf>
    <xf numFmtId="184" fontId="22" fillId="0" borderId="1" xfId="1" applyNumberFormat="1" applyFont="1" applyBorder="1" applyAlignment="1">
      <alignment horizontal="center" vertical="center"/>
    </xf>
    <xf numFmtId="0" fontId="18" fillId="0" borderId="11" xfId="0" applyFont="1" applyBorder="1" applyAlignment="1">
      <alignment horizontal="center" vertical="center"/>
    </xf>
    <xf numFmtId="184" fontId="10" fillId="0" borderId="14" xfId="0" applyNumberFormat="1" applyFont="1" applyBorder="1" applyAlignment="1">
      <alignment horizontal="center" vertical="center"/>
    </xf>
    <xf numFmtId="43" fontId="0" fillId="0" borderId="0" xfId="0" applyNumberFormat="1">
      <alignment vertical="center"/>
    </xf>
    <xf numFmtId="179" fontId="10" fillId="0" borderId="1" xfId="0" applyNumberFormat="1" applyFont="1" applyBorder="1" applyAlignment="1">
      <alignment vertical="top"/>
    </xf>
    <xf numFmtId="0" fontId="24" fillId="0" borderId="0" xfId="11">
      <alignment vertical="center"/>
    </xf>
    <xf numFmtId="0" fontId="5" fillId="0" borderId="1" xfId="13" applyFont="1" applyBorder="1" applyAlignment="1">
      <alignment horizontal="center" vertical="center"/>
    </xf>
    <xf numFmtId="0" fontId="5" fillId="0" borderId="1" xfId="13" applyFont="1" applyBorder="1" applyAlignment="1">
      <alignment horizontal="left" vertical="center"/>
    </xf>
    <xf numFmtId="0" fontId="22" fillId="0" borderId="0" xfId="11" applyFont="1">
      <alignment vertical="center"/>
    </xf>
    <xf numFmtId="0" fontId="22" fillId="0" borderId="0" xfId="11" quotePrefix="1" applyFont="1">
      <alignment vertical="center"/>
    </xf>
    <xf numFmtId="0" fontId="22" fillId="0" borderId="0" xfId="11" applyFont="1" applyAlignment="1">
      <alignment horizontal="center" vertical="center"/>
    </xf>
    <xf numFmtId="0" fontId="21" fillId="0" borderId="0" xfId="11" applyFont="1">
      <alignment vertical="center"/>
    </xf>
    <xf numFmtId="186" fontId="22" fillId="0" borderId="0" xfId="11" applyNumberFormat="1" applyFont="1">
      <alignment vertical="center"/>
    </xf>
    <xf numFmtId="0" fontId="22" fillId="0" borderId="1" xfId="11" applyFont="1" applyBorder="1">
      <alignment vertical="center"/>
    </xf>
    <xf numFmtId="0" fontId="22" fillId="0" borderId="1" xfId="11" applyFont="1" applyBorder="1" applyAlignment="1">
      <alignment horizontal="center" vertical="center"/>
    </xf>
    <xf numFmtId="10" fontId="22" fillId="0" borderId="1" xfId="2" applyNumberFormat="1" applyFont="1" applyBorder="1">
      <alignment vertical="center"/>
    </xf>
    <xf numFmtId="10" fontId="22" fillId="0" borderId="1" xfId="11" applyNumberFormat="1" applyFont="1" applyBorder="1">
      <alignment vertical="center"/>
    </xf>
    <xf numFmtId="186" fontId="22" fillId="0" borderId="1" xfId="11" applyNumberFormat="1" applyFont="1" applyBorder="1">
      <alignment vertical="center"/>
    </xf>
    <xf numFmtId="0" fontId="15" fillId="0" borderId="0" xfId="6">
      <alignment vertical="center"/>
    </xf>
    <xf numFmtId="43" fontId="22" fillId="0" borderId="1" xfId="11" applyNumberFormat="1" applyFont="1" applyBorder="1">
      <alignment vertical="center"/>
    </xf>
    <xf numFmtId="187" fontId="22" fillId="0" borderId="0" xfId="11" applyNumberFormat="1" applyFont="1">
      <alignment vertical="center"/>
    </xf>
    <xf numFmtId="43" fontId="22" fillId="0" borderId="0" xfId="1" applyFont="1">
      <alignment vertical="center"/>
    </xf>
    <xf numFmtId="0" fontId="5" fillId="0" borderId="1" xfId="13" applyFont="1" applyBorder="1" applyAlignment="1">
      <alignment horizontal="center" vertical="center" wrapText="1"/>
    </xf>
    <xf numFmtId="0" fontId="20" fillId="0" borderId="0" xfId="0" quotePrefix="1" applyFont="1">
      <alignment vertical="center"/>
    </xf>
    <xf numFmtId="186" fontId="20" fillId="0" borderId="0" xfId="0" applyNumberFormat="1" applyFont="1">
      <alignment vertical="center"/>
    </xf>
    <xf numFmtId="0" fontId="22" fillId="0" borderId="1" xfId="0" applyFont="1" applyBorder="1" applyAlignment="1">
      <alignment horizontal="center" vertical="center"/>
    </xf>
    <xf numFmtId="178" fontId="0" fillId="0" borderId="0" xfId="0" applyNumberFormat="1">
      <alignment vertical="center"/>
    </xf>
    <xf numFmtId="43" fontId="0" fillId="0" borderId="0" xfId="1" applyFont="1">
      <alignment vertical="center"/>
    </xf>
    <xf numFmtId="43" fontId="22" fillId="0" borderId="1" xfId="0" applyNumberFormat="1" applyFont="1" applyBorder="1" applyAlignment="1">
      <alignment horizontal="center" vertical="center"/>
    </xf>
    <xf numFmtId="178" fontId="22" fillId="0" borderId="1" xfId="0" applyNumberFormat="1" applyFont="1" applyBorder="1" applyAlignment="1">
      <alignment horizontal="center" vertical="center"/>
    </xf>
    <xf numFmtId="10" fontId="22" fillId="0" borderId="1" xfId="2" applyNumberFormat="1" applyFont="1" applyBorder="1" applyAlignment="1">
      <alignment horizontal="center" vertical="center"/>
    </xf>
    <xf numFmtId="4" fontId="20" fillId="0" borderId="1" xfId="0" applyNumberFormat="1" applyFont="1" applyBorder="1" applyAlignment="1">
      <alignment horizontal="center" vertical="center"/>
    </xf>
    <xf numFmtId="43" fontId="22" fillId="0" borderId="1" xfId="1" applyFont="1" applyBorder="1" applyAlignment="1">
      <alignment horizontal="center" vertical="center"/>
    </xf>
    <xf numFmtId="0" fontId="0" fillId="0" borderId="0" xfId="0" applyAlignment="1">
      <alignment horizontal="center" vertical="center"/>
    </xf>
    <xf numFmtId="0" fontId="20" fillId="0" borderId="0" xfId="0" applyFont="1" applyAlignment="1">
      <alignment horizontal="center" vertical="center"/>
    </xf>
    <xf numFmtId="10" fontId="20" fillId="0" borderId="1" xfId="2" applyNumberFormat="1" applyFont="1" applyBorder="1" applyAlignment="1">
      <alignment horizontal="center" vertical="center"/>
    </xf>
    <xf numFmtId="10" fontId="20" fillId="0" borderId="0" xfId="2" applyNumberFormat="1" applyFont="1">
      <alignment vertical="center"/>
    </xf>
    <xf numFmtId="43" fontId="11" fillId="0" borderId="1" xfId="1" applyFont="1" applyBorder="1" applyAlignment="1">
      <alignment horizontal="center" vertical="center"/>
    </xf>
    <xf numFmtId="178" fontId="11" fillId="0" borderId="1" xfId="0" applyNumberFormat="1" applyFont="1" applyBorder="1" applyAlignment="1">
      <alignment horizontal="center" vertical="top"/>
    </xf>
    <xf numFmtId="43" fontId="11" fillId="0" borderId="1" xfId="1" applyFont="1" applyBorder="1" applyAlignment="1">
      <alignment horizontal="center" vertical="top"/>
    </xf>
    <xf numFmtId="43" fontId="11" fillId="0" borderId="0" xfId="1" applyFont="1" applyAlignment="1">
      <alignment horizontal="center" vertical="center"/>
    </xf>
    <xf numFmtId="43" fontId="10" fillId="0" borderId="0" xfId="0" applyNumberFormat="1" applyFont="1">
      <alignment vertical="center"/>
    </xf>
    <xf numFmtId="0" fontId="20" fillId="0" borderId="1" xfId="0" applyFont="1" applyBorder="1" applyAlignment="1">
      <alignment horizontal="left" vertical="center"/>
    </xf>
    <xf numFmtId="31" fontId="22" fillId="0" borderId="1" xfId="0" applyNumberFormat="1" applyFont="1" applyBorder="1" applyAlignment="1">
      <alignment horizontal="center" vertical="center"/>
    </xf>
    <xf numFmtId="10" fontId="10" fillId="0" borderId="1" xfId="2" applyNumberFormat="1" applyFont="1" applyBorder="1" applyAlignment="1">
      <alignment horizontal="center" vertical="center"/>
    </xf>
    <xf numFmtId="0" fontId="20" fillId="0" borderId="6" xfId="0" applyFont="1" applyBorder="1" applyAlignment="1">
      <alignment horizontal="left" vertical="center"/>
    </xf>
    <xf numFmtId="0" fontId="11" fillId="0" borderId="1" xfId="0" applyFont="1" applyBorder="1" applyAlignment="1">
      <alignment horizontal="center" vertical="center"/>
    </xf>
    <xf numFmtId="0" fontId="10" fillId="0" borderId="1" xfId="0" applyFont="1" applyBorder="1">
      <alignment vertical="center"/>
    </xf>
    <xf numFmtId="0" fontId="10" fillId="0" borderId="1" xfId="0" applyFont="1" applyBorder="1" applyAlignment="1">
      <alignment horizontal="left" vertical="center"/>
    </xf>
    <xf numFmtId="0" fontId="11" fillId="0" borderId="1" xfId="0" applyFont="1" applyBorder="1" applyAlignment="1">
      <alignment horizontal="left" vertical="center"/>
    </xf>
    <xf numFmtId="177" fontId="10" fillId="0" borderId="1" xfId="0" applyNumberFormat="1" applyFont="1" applyBorder="1" applyAlignment="1">
      <alignment vertical="center" wrapText="1"/>
    </xf>
    <xf numFmtId="184" fontId="0" fillId="0" borderId="0" xfId="0" applyNumberFormat="1">
      <alignment vertical="center"/>
    </xf>
    <xf numFmtId="186" fontId="21" fillId="0" borderId="0" xfId="11" applyNumberFormat="1" applyFont="1">
      <alignment vertical="center"/>
    </xf>
    <xf numFmtId="178" fontId="32" fillId="0" borderId="0" xfId="0" applyNumberFormat="1" applyFont="1">
      <alignment vertical="center"/>
    </xf>
    <xf numFmtId="186" fontId="21" fillId="0" borderId="0" xfId="0" applyNumberFormat="1" applyFont="1">
      <alignment vertical="center"/>
    </xf>
    <xf numFmtId="43" fontId="22" fillId="0" borderId="0" xfId="1" quotePrefix="1" applyFont="1">
      <alignment vertical="center"/>
    </xf>
    <xf numFmtId="43" fontId="20" fillId="0" borderId="1" xfId="1" applyFont="1" applyBorder="1" applyAlignment="1">
      <alignment horizontal="center" vertical="center"/>
    </xf>
    <xf numFmtId="43" fontId="20" fillId="0" borderId="6" xfId="1" applyFont="1" applyBorder="1" applyAlignment="1">
      <alignment horizontal="center" vertical="center"/>
    </xf>
    <xf numFmtId="31" fontId="20" fillId="0" borderId="0" xfId="0" applyNumberFormat="1" applyFont="1" applyAlignment="1">
      <alignment horizontal="center" vertical="center"/>
    </xf>
    <xf numFmtId="43" fontId="20" fillId="0" borderId="1" xfId="1" applyFont="1" applyBorder="1" applyAlignment="1">
      <alignment horizontal="center" vertical="center" wrapText="1"/>
    </xf>
    <xf numFmtId="184" fontId="20" fillId="0" borderId="1" xfId="1" applyNumberFormat="1" applyFont="1" applyBorder="1" applyAlignment="1">
      <alignment horizontal="center" vertical="center" wrapText="1"/>
    </xf>
    <xf numFmtId="31" fontId="20" fillId="0" borderId="6" xfId="0" applyNumberFormat="1" applyFont="1" applyBorder="1" applyAlignment="1">
      <alignment horizontal="center" vertical="center"/>
    </xf>
    <xf numFmtId="0" fontId="40" fillId="0" borderId="0" xfId="0" applyFont="1">
      <alignment vertical="center"/>
    </xf>
    <xf numFmtId="0" fontId="41" fillId="0" borderId="0" xfId="0" applyFont="1">
      <alignment vertical="center"/>
    </xf>
    <xf numFmtId="0" fontId="39" fillId="0" borderId="0" xfId="0" applyFont="1">
      <alignment vertical="center"/>
    </xf>
    <xf numFmtId="4" fontId="39" fillId="0" borderId="0" xfId="0" applyNumberFormat="1" applyFont="1">
      <alignment vertical="center"/>
    </xf>
    <xf numFmtId="179" fontId="10" fillId="0" borderId="0" xfId="0" applyNumberFormat="1" applyFont="1" applyAlignment="1">
      <alignment vertical="top"/>
    </xf>
    <xf numFmtId="31" fontId="22" fillId="0" borderId="1" xfId="1" applyNumberFormat="1" applyFont="1" applyBorder="1" applyAlignment="1">
      <alignment horizontal="center" vertical="center"/>
    </xf>
    <xf numFmtId="31" fontId="22" fillId="0" borderId="0" xfId="1" applyNumberFormat="1" applyFont="1" applyAlignment="1">
      <alignment horizontal="center" vertical="center"/>
    </xf>
    <xf numFmtId="10" fontId="10" fillId="0" borderId="0" xfId="2" applyNumberFormat="1" applyFont="1" applyAlignment="1">
      <alignment vertical="top"/>
    </xf>
    <xf numFmtId="43" fontId="10" fillId="0" borderId="0" xfId="1" applyFont="1" applyAlignment="1">
      <alignment vertical="top"/>
    </xf>
    <xf numFmtId="0" fontId="10" fillId="0" borderId="0" xfId="0" applyFont="1" applyAlignment="1">
      <alignment horizontal="center" vertical="center" wrapText="1"/>
    </xf>
    <xf numFmtId="10" fontId="10" fillId="0" borderId="1" xfId="2" applyNumberFormat="1" applyFont="1" applyBorder="1" applyAlignment="1">
      <alignment horizontal="center" vertical="top"/>
    </xf>
    <xf numFmtId="183" fontId="10" fillId="0" borderId="1" xfId="1" applyNumberFormat="1" applyFont="1" applyBorder="1" applyAlignment="1">
      <alignment vertical="top"/>
    </xf>
    <xf numFmtId="183" fontId="10" fillId="0" borderId="1" xfId="1" applyNumberFormat="1" applyFont="1" applyBorder="1" applyAlignment="1">
      <alignment horizontal="center" vertical="center"/>
    </xf>
    <xf numFmtId="184" fontId="10" fillId="0" borderId="1" xfId="1" applyNumberFormat="1" applyFont="1" applyBorder="1" applyAlignment="1">
      <alignment vertical="top"/>
    </xf>
    <xf numFmtId="184" fontId="10" fillId="0" borderId="1" xfId="1" applyNumberFormat="1" applyFont="1" applyBorder="1" applyAlignment="1">
      <alignment horizontal="center" vertical="center"/>
    </xf>
    <xf numFmtId="184" fontId="10" fillId="2" borderId="1" xfId="1" applyNumberFormat="1" applyFont="1" applyFill="1" applyBorder="1" applyAlignment="1">
      <alignment horizontal="center" vertical="center"/>
    </xf>
    <xf numFmtId="43" fontId="20" fillId="0" borderId="0" xfId="1" applyFont="1">
      <alignment vertical="center"/>
    </xf>
    <xf numFmtId="43" fontId="0" fillId="0" borderId="1" xfId="1" applyFont="1" applyBorder="1">
      <alignment vertical="center"/>
    </xf>
    <xf numFmtId="43" fontId="20" fillId="0" borderId="0" xfId="1" applyFont="1" applyAlignment="1">
      <alignment horizontal="center" vertical="center"/>
    </xf>
    <xf numFmtId="184" fontId="20" fillId="0" borderId="0" xfId="1" applyNumberFormat="1" applyFont="1" applyAlignment="1">
      <alignment horizontal="center" vertical="center" wrapText="1"/>
    </xf>
    <xf numFmtId="10" fontId="10" fillId="0" borderId="0" xfId="2" applyNumberFormat="1" applyFont="1" applyAlignment="1">
      <alignment horizontal="center" vertical="center"/>
    </xf>
    <xf numFmtId="0" fontId="30" fillId="0" borderId="0" xfId="0" applyFont="1" applyAlignment="1">
      <alignment horizontal="center" vertical="center"/>
    </xf>
    <xf numFmtId="184" fontId="22" fillId="0" borderId="0" xfId="1" applyNumberFormat="1" applyFont="1" applyAlignment="1">
      <alignment horizontal="center" vertical="center"/>
    </xf>
    <xf numFmtId="184" fontId="10" fillId="0" borderId="13" xfId="1" applyNumberFormat="1" applyFont="1" applyBorder="1" applyAlignment="1">
      <alignment horizontal="center" vertical="center"/>
    </xf>
    <xf numFmtId="43" fontId="11" fillId="0" borderId="1" xfId="1" applyFont="1" applyBorder="1" applyAlignment="1">
      <alignment vertical="top"/>
    </xf>
    <xf numFmtId="43" fontId="10" fillId="0" borderId="1" xfId="1" applyFont="1" applyBorder="1" applyAlignment="1">
      <alignment horizontal="center" vertical="center"/>
    </xf>
    <xf numFmtId="10" fontId="11" fillId="0" borderId="1" xfId="2" applyNumberFormat="1" applyFont="1" applyBorder="1" applyAlignment="1">
      <alignment horizontal="center" vertical="top"/>
    </xf>
    <xf numFmtId="10" fontId="11" fillId="0" borderId="1" xfId="2" applyNumberFormat="1" applyFont="1" applyBorder="1" applyAlignment="1">
      <alignment horizontal="center" vertical="center"/>
    </xf>
    <xf numFmtId="10" fontId="11" fillId="0" borderId="0" xfId="2" applyNumberFormat="1" applyFont="1" applyAlignment="1">
      <alignment horizontal="center" vertical="top"/>
    </xf>
    <xf numFmtId="10" fontId="11" fillId="0" borderId="0" xfId="2" applyNumberFormat="1" applyFont="1" applyAlignment="1">
      <alignment horizontal="center" vertical="center"/>
    </xf>
    <xf numFmtId="43" fontId="11" fillId="0" borderId="0" xfId="1" applyFont="1" applyAlignment="1">
      <alignment horizontal="center" vertical="top"/>
    </xf>
    <xf numFmtId="184" fontId="10" fillId="0" borderId="20" xfId="0" applyNumberFormat="1" applyFont="1" applyBorder="1" applyAlignment="1">
      <alignment horizontal="center" vertical="center"/>
    </xf>
    <xf numFmtId="0" fontId="11" fillId="0" borderId="0" xfId="0" applyFont="1">
      <alignment vertical="center"/>
    </xf>
    <xf numFmtId="0" fontId="20" fillId="0" borderId="0" xfId="0" applyFont="1" applyAlignment="1">
      <alignment horizontal="center" vertical="center" wrapText="1"/>
    </xf>
    <xf numFmtId="43" fontId="20" fillId="0" borderId="0" xfId="1" applyFont="1" applyBorder="1" applyAlignment="1">
      <alignment horizontal="center" vertical="center" wrapText="1"/>
    </xf>
    <xf numFmtId="184" fontId="20" fillId="0" borderId="0" xfId="1" applyNumberFormat="1" applyFont="1" applyBorder="1" applyAlignment="1">
      <alignment horizontal="center" vertical="center" wrapText="1"/>
    </xf>
    <xf numFmtId="0" fontId="32" fillId="0" borderId="1" xfId="0" applyFont="1" applyBorder="1">
      <alignment vertical="center"/>
    </xf>
    <xf numFmtId="43" fontId="20" fillId="2" borderId="0" xfId="1" applyFont="1" applyFill="1">
      <alignment vertical="center"/>
    </xf>
    <xf numFmtId="0" fontId="22" fillId="0" borderId="0" xfId="0" applyFont="1">
      <alignment vertical="center"/>
    </xf>
    <xf numFmtId="0" fontId="44" fillId="0" borderId="0" xfId="0" applyFont="1" applyAlignment="1">
      <alignment vertical="center" wrapText="1"/>
    </xf>
    <xf numFmtId="0" fontId="35" fillId="0" borderId="0" xfId="0" applyFont="1">
      <alignment vertical="center"/>
    </xf>
    <xf numFmtId="43" fontId="35" fillId="0" borderId="0" xfId="7" applyFont="1">
      <alignment vertical="center"/>
    </xf>
    <xf numFmtId="0" fontId="23" fillId="0" borderId="0" xfId="0" applyFont="1">
      <alignment vertical="center"/>
    </xf>
    <xf numFmtId="0" fontId="45" fillId="0" borderId="0" xfId="0" applyFont="1">
      <alignment vertical="center"/>
    </xf>
    <xf numFmtId="188" fontId="35" fillId="0" borderId="0" xfId="0" applyNumberFormat="1" applyFont="1">
      <alignment vertical="center"/>
    </xf>
    <xf numFmtId="0" fontId="46" fillId="0" borderId="1" xfId="0" applyFont="1" applyBorder="1" applyAlignment="1">
      <alignment horizontal="center" vertical="center"/>
    </xf>
    <xf numFmtId="0" fontId="46" fillId="0" borderId="1" xfId="0" applyFont="1" applyBorder="1">
      <alignment vertical="center"/>
    </xf>
    <xf numFmtId="182" fontId="46" fillId="0" borderId="1" xfId="0" applyNumberFormat="1" applyFont="1" applyBorder="1">
      <alignment vertical="center"/>
    </xf>
    <xf numFmtId="0" fontId="46" fillId="6" borderId="1" xfId="0" applyFont="1" applyFill="1" applyBorder="1">
      <alignment vertical="center"/>
    </xf>
    <xf numFmtId="182" fontId="46" fillId="6" borderId="1" xfId="0" applyNumberFormat="1" applyFont="1" applyFill="1" applyBorder="1">
      <alignment vertical="center"/>
    </xf>
    <xf numFmtId="0" fontId="28" fillId="0" borderId="0" xfId="14" applyFont="1">
      <alignment vertical="center"/>
    </xf>
    <xf numFmtId="0" fontId="25" fillId="0" borderId="0" xfId="14" applyFont="1" applyAlignment="1">
      <alignment horizontal="center" vertical="center"/>
    </xf>
    <xf numFmtId="178" fontId="28" fillId="0" borderId="0" xfId="15" applyNumberFormat="1" applyFont="1" applyAlignment="1" applyProtection="1">
      <alignment horizontal="right" vertical="center"/>
      <protection hidden="1"/>
    </xf>
    <xf numFmtId="43" fontId="28" fillId="0" borderId="0" xfId="14" applyNumberFormat="1" applyFont="1" applyAlignment="1">
      <alignment horizontal="left" vertical="center"/>
    </xf>
    <xf numFmtId="0" fontId="28" fillId="0" borderId="0" xfId="14" applyFont="1" applyAlignment="1">
      <alignment horizontal="right" vertical="center"/>
    </xf>
    <xf numFmtId="0" fontId="25" fillId="0" borderId="1" xfId="14" applyFont="1" applyBorder="1" applyAlignment="1">
      <alignment horizontal="center" vertical="center" wrapText="1"/>
    </xf>
    <xf numFmtId="0" fontId="25" fillId="0" borderId="8" xfId="14" applyFont="1" applyBorder="1" applyAlignment="1">
      <alignment horizontal="center" vertical="center" wrapText="1"/>
    </xf>
    <xf numFmtId="0" fontId="25" fillId="0" borderId="24" xfId="14" applyFont="1" applyBorder="1" applyAlignment="1">
      <alignment horizontal="center" vertical="center" wrapText="1"/>
    </xf>
    <xf numFmtId="0" fontId="28" fillId="0" borderId="24" xfId="14" applyFont="1" applyBorder="1" applyAlignment="1">
      <alignment horizontal="center" vertical="center"/>
    </xf>
    <xf numFmtId="4" fontId="28" fillId="0" borderId="1" xfId="14" applyNumberFormat="1" applyFont="1" applyBorder="1">
      <alignment vertical="center"/>
    </xf>
    <xf numFmtId="4" fontId="28" fillId="0" borderId="3" xfId="14" applyNumberFormat="1" applyFont="1" applyBorder="1">
      <alignment vertical="center"/>
    </xf>
    <xf numFmtId="4" fontId="28" fillId="0" borderId="8" xfId="14" applyNumberFormat="1" applyFont="1" applyBorder="1">
      <alignment vertical="center"/>
    </xf>
    <xf numFmtId="4" fontId="28" fillId="0" borderId="24" xfId="14" applyNumberFormat="1" applyFont="1" applyBorder="1">
      <alignment vertical="center"/>
    </xf>
    <xf numFmtId="43" fontId="44" fillId="0" borderId="1" xfId="7" applyFont="1" applyBorder="1">
      <alignment vertical="center"/>
    </xf>
    <xf numFmtId="43" fontId="28" fillId="0" borderId="0" xfId="7" applyFont="1">
      <alignment vertical="center"/>
    </xf>
    <xf numFmtId="10" fontId="0" fillId="0" borderId="0" xfId="0" applyNumberFormat="1">
      <alignment vertical="center"/>
    </xf>
    <xf numFmtId="10" fontId="28" fillId="0" borderId="1" xfId="12" applyNumberFormat="1" applyFont="1" applyBorder="1">
      <alignment vertical="center"/>
    </xf>
    <xf numFmtId="10" fontId="28" fillId="0" borderId="3" xfId="12" applyNumberFormat="1" applyFont="1" applyBorder="1">
      <alignment vertical="center"/>
    </xf>
    <xf numFmtId="10" fontId="28" fillId="0" borderId="24" xfId="12" applyNumberFormat="1" applyFont="1" applyBorder="1">
      <alignment vertical="center"/>
    </xf>
    <xf numFmtId="10" fontId="28" fillId="0" borderId="8" xfId="12" applyNumberFormat="1" applyFont="1" applyBorder="1">
      <alignment vertical="center"/>
    </xf>
    <xf numFmtId="183" fontId="28" fillId="0" borderId="1" xfId="7" applyNumberFormat="1" applyFont="1" applyBorder="1">
      <alignment vertical="center"/>
    </xf>
    <xf numFmtId="183" fontId="28" fillId="0" borderId="3" xfId="7" applyNumberFormat="1" applyFont="1" applyBorder="1">
      <alignment vertical="center"/>
    </xf>
    <xf numFmtId="178" fontId="28" fillId="0" borderId="0" xfId="14" applyNumberFormat="1" applyFont="1">
      <alignment vertical="center"/>
    </xf>
    <xf numFmtId="0" fontId="25" fillId="0" borderId="24" xfId="14" applyFont="1" applyBorder="1" applyAlignment="1">
      <alignment horizontal="center" vertical="center"/>
    </xf>
    <xf numFmtId="43" fontId="25" fillId="0" borderId="1" xfId="7" applyFont="1" applyBorder="1">
      <alignment vertical="center"/>
    </xf>
    <xf numFmtId="43" fontId="25" fillId="0" borderId="3" xfId="7" applyFont="1" applyBorder="1">
      <alignment vertical="center"/>
    </xf>
    <xf numFmtId="0" fontId="25" fillId="0" borderId="25" xfId="14" applyFont="1" applyBorder="1" applyAlignment="1">
      <alignment horizontal="center" vertical="center"/>
    </xf>
    <xf numFmtId="0" fontId="25" fillId="0" borderId="0" xfId="14" applyFont="1">
      <alignment vertical="center"/>
    </xf>
    <xf numFmtId="0" fontId="25" fillId="0" borderId="0" xfId="14" applyFont="1" applyAlignment="1">
      <alignment horizontal="left" vertical="center" wrapText="1"/>
    </xf>
    <xf numFmtId="0" fontId="26" fillId="0" borderId="0" xfId="14" applyFont="1" applyAlignment="1">
      <alignment horizontal="left" vertical="center" wrapText="1"/>
    </xf>
    <xf numFmtId="10" fontId="25" fillId="0" borderId="0" xfId="14" applyNumberFormat="1" applyFont="1" applyAlignment="1">
      <alignment horizontal="left" vertical="center" wrapText="1"/>
    </xf>
    <xf numFmtId="188" fontId="28" fillId="0" borderId="0" xfId="14" applyNumberFormat="1" applyFont="1">
      <alignment vertical="center"/>
    </xf>
    <xf numFmtId="43" fontId="16" fillId="0" borderId="0" xfId="7" applyFont="1">
      <alignment vertical="center"/>
    </xf>
    <xf numFmtId="189" fontId="16" fillId="0" borderId="0" xfId="12" applyNumberFormat="1" applyFont="1">
      <alignment vertical="center"/>
    </xf>
    <xf numFmtId="190" fontId="28" fillId="0" borderId="0" xfId="14" applyNumberFormat="1" applyFont="1">
      <alignment vertical="center"/>
    </xf>
    <xf numFmtId="191" fontId="28" fillId="0" borderId="8" xfId="14" applyNumberFormat="1" applyFont="1" applyBorder="1">
      <alignment vertical="center"/>
    </xf>
    <xf numFmtId="191" fontId="28" fillId="0" borderId="24" xfId="14" applyNumberFormat="1" applyFont="1" applyBorder="1">
      <alignment vertical="center"/>
    </xf>
    <xf numFmtId="191" fontId="28" fillId="0" borderId="1" xfId="14" applyNumberFormat="1" applyFont="1" applyBorder="1">
      <alignment vertical="center"/>
    </xf>
    <xf numFmtId="182" fontId="0" fillId="0" borderId="0" xfId="0" applyNumberFormat="1">
      <alignment vertical="center"/>
    </xf>
    <xf numFmtId="43" fontId="35" fillId="0" borderId="0" xfId="1" applyFont="1">
      <alignment vertical="center"/>
    </xf>
    <xf numFmtId="43" fontId="28" fillId="0" borderId="0" xfId="1" applyFont="1">
      <alignment vertical="center"/>
    </xf>
    <xf numFmtId="9" fontId="28" fillId="0" borderId="0" xfId="14" applyNumberFormat="1" applyFont="1">
      <alignment vertical="center"/>
    </xf>
    <xf numFmtId="43" fontId="7" fillId="0" borderId="0" xfId="1" applyFont="1" applyAlignment="1">
      <alignment horizontal="center" vertical="center"/>
    </xf>
    <xf numFmtId="10" fontId="9" fillId="0" borderId="0" xfId="2" applyNumberFormat="1" applyFont="1" applyAlignment="1">
      <alignment horizontal="center" vertical="center"/>
    </xf>
    <xf numFmtId="43" fontId="35" fillId="0" borderId="0" xfId="0" applyNumberFormat="1" applyFont="1">
      <alignment vertical="center"/>
    </xf>
    <xf numFmtId="0" fontId="35" fillId="0" borderId="1" xfId="0" applyFont="1" applyBorder="1" applyAlignment="1">
      <alignment horizontal="center" vertical="center"/>
    </xf>
    <xf numFmtId="184" fontId="10" fillId="0" borderId="0" xfId="1" applyNumberFormat="1" applyFont="1">
      <alignment vertical="center"/>
    </xf>
    <xf numFmtId="4" fontId="28" fillId="3" borderId="24" xfId="14" applyNumberFormat="1" applyFont="1" applyFill="1" applyBorder="1">
      <alignment vertical="center"/>
    </xf>
    <xf numFmtId="4" fontId="28" fillId="3" borderId="1" xfId="14" applyNumberFormat="1" applyFont="1" applyFill="1" applyBorder="1">
      <alignment vertical="center"/>
    </xf>
    <xf numFmtId="4" fontId="28" fillId="3" borderId="8" xfId="14" applyNumberFormat="1" applyFont="1" applyFill="1" applyBorder="1">
      <alignment vertical="center"/>
    </xf>
    <xf numFmtId="43" fontId="0" fillId="0" borderId="1" xfId="0" applyNumberFormat="1" applyBorder="1">
      <alignment vertical="center"/>
    </xf>
    <xf numFmtId="0" fontId="20" fillId="6" borderId="1" xfId="0" applyFont="1" applyFill="1" applyBorder="1" applyAlignment="1">
      <alignment horizontal="center" vertical="center"/>
    </xf>
    <xf numFmtId="31" fontId="20" fillId="6" borderId="1" xfId="0" applyNumberFormat="1" applyFont="1" applyFill="1" applyBorder="1" applyAlignment="1">
      <alignment horizontal="center" vertical="center"/>
    </xf>
    <xf numFmtId="4" fontId="20" fillId="6" borderId="1" xfId="0" applyNumberFormat="1" applyFont="1" applyFill="1" applyBorder="1">
      <alignment vertical="center"/>
    </xf>
    <xf numFmtId="43" fontId="22" fillId="6" borderId="1" xfId="1" applyFont="1" applyFill="1" applyBorder="1">
      <alignment vertical="center"/>
    </xf>
    <xf numFmtId="184" fontId="22" fillId="6" borderId="1" xfId="1" applyNumberFormat="1" applyFont="1" applyFill="1" applyBorder="1" applyAlignment="1">
      <alignment horizontal="center" vertical="center"/>
    </xf>
    <xf numFmtId="0" fontId="0" fillId="6" borderId="0" xfId="0" applyFill="1">
      <alignment vertical="center"/>
    </xf>
    <xf numFmtId="10" fontId="20" fillId="6" borderId="1" xfId="2" applyNumberFormat="1" applyFont="1" applyFill="1" applyBorder="1" applyAlignment="1">
      <alignment horizontal="center" vertical="center"/>
    </xf>
    <xf numFmtId="0" fontId="20" fillId="6" borderId="0" xfId="0" applyFont="1" applyFill="1">
      <alignment vertical="center"/>
    </xf>
    <xf numFmtId="0" fontId="20" fillId="6" borderId="0" xfId="0" applyFont="1" applyFill="1" applyAlignment="1">
      <alignment horizontal="center" vertical="center"/>
    </xf>
    <xf numFmtId="0" fontId="20" fillId="6" borderId="1" xfId="0" applyFont="1" applyFill="1" applyBorder="1">
      <alignment vertical="center"/>
    </xf>
    <xf numFmtId="43" fontId="20" fillId="0" borderId="0" xfId="1" applyFont="1" applyBorder="1" applyAlignment="1">
      <alignment horizontal="center" vertical="center"/>
    </xf>
    <xf numFmtId="0" fontId="32" fillId="0" borderId="0" xfId="0" applyFont="1">
      <alignment vertical="center"/>
    </xf>
    <xf numFmtId="184" fontId="0" fillId="0" borderId="1" xfId="0" applyNumberFormat="1" applyBorder="1">
      <alignment vertical="center"/>
    </xf>
    <xf numFmtId="0" fontId="22" fillId="6" borderId="0" xfId="11" applyFont="1" applyFill="1">
      <alignment vertical="center"/>
    </xf>
    <xf numFmtId="186" fontId="22" fillId="6" borderId="0" xfId="11" applyNumberFormat="1" applyFont="1" applyFill="1">
      <alignment vertical="center"/>
    </xf>
    <xf numFmtId="0" fontId="22" fillId="0" borderId="0" xfId="11" quotePrefix="1" applyFont="1" applyAlignment="1">
      <alignment horizontal="center" vertical="center"/>
    </xf>
    <xf numFmtId="43" fontId="22" fillId="6" borderId="0" xfId="1" applyFont="1" applyFill="1">
      <alignment vertical="center"/>
    </xf>
    <xf numFmtId="184" fontId="10" fillId="0" borderId="19" xfId="0" applyNumberFormat="1" applyFont="1" applyBorder="1" applyAlignment="1">
      <alignment horizontal="center" vertical="center"/>
    </xf>
    <xf numFmtId="185" fontId="236" fillId="0" borderId="1" xfId="0" applyNumberFormat="1" applyFont="1" applyBorder="1" applyAlignment="1">
      <alignment horizontal="center" vertical="center"/>
    </xf>
    <xf numFmtId="43" fontId="24" fillId="0" borderId="0" xfId="1" applyFont="1">
      <alignment vertical="center"/>
    </xf>
    <xf numFmtId="43" fontId="24" fillId="0" borderId="0" xfId="11" applyNumberFormat="1">
      <alignment vertical="center"/>
    </xf>
    <xf numFmtId="43" fontId="22" fillId="0" borderId="1" xfId="2" applyNumberFormat="1" applyFont="1" applyBorder="1">
      <alignment vertical="center"/>
    </xf>
    <xf numFmtId="185" fontId="237" fillId="0" borderId="0" xfId="0" applyNumberFormat="1" applyFont="1">
      <alignment vertical="center"/>
    </xf>
    <xf numFmtId="302" fontId="46" fillId="0" borderId="1" xfId="0" applyNumberFormat="1" applyFont="1" applyBorder="1">
      <alignment vertical="center"/>
    </xf>
    <xf numFmtId="302" fontId="35" fillId="0" borderId="1" xfId="1" applyNumberFormat="1" applyFont="1" applyBorder="1">
      <alignment vertical="center"/>
    </xf>
    <xf numFmtId="302" fontId="46" fillId="6" borderId="1" xfId="0" applyNumberFormat="1" applyFont="1" applyFill="1" applyBorder="1">
      <alignment vertical="center"/>
    </xf>
    <xf numFmtId="279" fontId="35" fillId="0" borderId="0" xfId="0" applyNumberFormat="1" applyFont="1">
      <alignment vertical="center"/>
    </xf>
    <xf numFmtId="43" fontId="32" fillId="0" borderId="0" xfId="1" applyFont="1">
      <alignment vertical="center"/>
    </xf>
    <xf numFmtId="43" fontId="238" fillId="0" borderId="0" xfId="1" applyFont="1">
      <alignment vertical="center"/>
    </xf>
    <xf numFmtId="0" fontId="0" fillId="0" borderId="0" xfId="0" applyAlignment="1"/>
    <xf numFmtId="43" fontId="22" fillId="0" borderId="0" xfId="11" quotePrefix="1" applyNumberFormat="1" applyFont="1" applyAlignment="1">
      <alignment horizontal="center" vertical="center"/>
    </xf>
    <xf numFmtId="43" fontId="22" fillId="0" borderId="0" xfId="1" quotePrefix="1" applyFont="1" applyAlignment="1">
      <alignment horizontal="center" vertical="center"/>
    </xf>
    <xf numFmtId="43" fontId="21" fillId="0" borderId="0" xfId="1" applyFont="1">
      <alignment vertical="center"/>
    </xf>
    <xf numFmtId="43" fontId="22" fillId="0" borderId="0" xfId="1" applyFont="1" applyAlignment="1">
      <alignment horizontal="center" vertical="center"/>
    </xf>
    <xf numFmtId="43" fontId="21" fillId="0" borderId="0" xfId="1" applyFont="1" applyAlignment="1">
      <alignment horizontal="center" vertical="center"/>
    </xf>
    <xf numFmtId="186" fontId="20" fillId="0" borderId="0" xfId="0" quotePrefix="1" applyNumberFormat="1" applyFont="1">
      <alignment vertical="center"/>
    </xf>
    <xf numFmtId="186" fontId="22" fillId="0" borderId="0" xfId="11" applyNumberFormat="1" applyFont="1" applyAlignment="1">
      <alignment horizontal="center" vertical="center"/>
    </xf>
    <xf numFmtId="186" fontId="21" fillId="0" borderId="0" xfId="11" applyNumberFormat="1" applyFont="1" applyAlignment="1">
      <alignment horizontal="center" vertical="center"/>
    </xf>
    <xf numFmtId="43" fontId="44" fillId="0" borderId="0" xfId="7" applyFont="1" applyFill="1">
      <alignment vertical="center"/>
    </xf>
    <xf numFmtId="43" fontId="22" fillId="0" borderId="0" xfId="11" quotePrefix="1" applyNumberFormat="1" applyFont="1">
      <alignment vertical="center"/>
    </xf>
    <xf numFmtId="186" fontId="22" fillId="0" borderId="0" xfId="11" quotePrefix="1" applyNumberFormat="1" applyFont="1">
      <alignment vertical="center"/>
    </xf>
    <xf numFmtId="177" fontId="31" fillId="0" borderId="0" xfId="0" applyNumberFormat="1" applyFont="1" applyAlignment="1">
      <alignment horizontal="center" vertical="center" wrapText="1"/>
    </xf>
    <xf numFmtId="302" fontId="35" fillId="0" borderId="0" xfId="0" applyNumberFormat="1" applyFont="1">
      <alignment vertical="center"/>
    </xf>
    <xf numFmtId="0" fontId="28" fillId="0" borderId="0" xfId="3485" applyFont="1"/>
    <xf numFmtId="178" fontId="5" fillId="0" borderId="0" xfId="3484" applyNumberFormat="1" applyFont="1" applyAlignment="1">
      <alignment horizontal="left" vertical="center"/>
    </xf>
    <xf numFmtId="178" fontId="5" fillId="0" borderId="0" xfId="3484" applyNumberFormat="1" applyFont="1" applyAlignment="1">
      <alignment horizontal="center" vertical="center" wrapText="1"/>
    </xf>
    <xf numFmtId="305" fontId="5" fillId="0" borderId="0" xfId="3484" applyNumberFormat="1" applyFont="1" applyAlignment="1">
      <alignment horizontal="center" vertical="center" wrapText="1"/>
    </xf>
    <xf numFmtId="0" fontId="244" fillId="92" borderId="0" xfId="2430" applyFont="1" applyFill="1" applyBorder="1" applyAlignment="1" applyProtection="1">
      <alignment horizontal="center" vertical="center"/>
    </xf>
    <xf numFmtId="0" fontId="5" fillId="0" borderId="0" xfId="3485" applyFont="1" applyAlignment="1">
      <alignment horizontal="right"/>
    </xf>
    <xf numFmtId="178" fontId="34" fillId="0" borderId="0" xfId="3484" applyNumberFormat="1" applyFont="1" applyAlignment="1">
      <alignment horizontal="center" vertical="center" wrapText="1"/>
    </xf>
    <xf numFmtId="0" fontId="5" fillId="0" borderId="0" xfId="3485" applyFont="1" applyAlignment="1">
      <alignment horizontal="right" vertical="center"/>
    </xf>
    <xf numFmtId="0" fontId="28" fillId="0" borderId="0" xfId="3485" applyFont="1" applyAlignment="1">
      <alignment vertical="center"/>
    </xf>
    <xf numFmtId="0" fontId="245" fillId="0" borderId="1" xfId="3484" applyFont="1" applyBorder="1" applyAlignment="1">
      <alignment horizontal="center" vertical="center" wrapText="1"/>
    </xf>
    <xf numFmtId="0" fontId="245" fillId="0" borderId="1" xfId="3486" applyFont="1" applyBorder="1" applyAlignment="1">
      <alignment horizontal="center" vertical="center" wrapText="1"/>
    </xf>
    <xf numFmtId="0" fontId="5" fillId="0" borderId="1" xfId="3484" applyFont="1" applyBorder="1" applyAlignment="1">
      <alignment horizontal="center" vertical="center" wrapText="1"/>
    </xf>
    <xf numFmtId="0" fontId="5" fillId="0" borderId="1" xfId="0" applyFont="1" applyBorder="1" applyAlignment="1">
      <alignment horizontal="left" vertical="center" wrapText="1"/>
    </xf>
    <xf numFmtId="43" fontId="9" fillId="0" borderId="1" xfId="3230" applyFont="1" applyFill="1" applyBorder="1" applyAlignment="1">
      <alignment vertical="center"/>
    </xf>
    <xf numFmtId="0" fontId="5" fillId="0" borderId="1" xfId="3484" applyFont="1" applyBorder="1" applyAlignment="1">
      <alignment vertical="center"/>
    </xf>
    <xf numFmtId="0" fontId="245" fillId="8" borderId="1" xfId="3484" applyFont="1" applyFill="1" applyBorder="1" applyAlignment="1">
      <alignment horizontal="center" vertical="center" wrapText="1"/>
    </xf>
    <xf numFmtId="0" fontId="245" fillId="8" borderId="1" xfId="0" applyFont="1" applyFill="1" applyBorder="1" applyAlignment="1">
      <alignment horizontal="left" vertical="center" wrapText="1"/>
    </xf>
    <xf numFmtId="43" fontId="34" fillId="8" borderId="1" xfId="3230" applyFont="1" applyFill="1" applyBorder="1" applyAlignment="1">
      <alignment vertical="center"/>
    </xf>
    <xf numFmtId="0" fontId="245" fillId="8" borderId="1" xfId="3486" applyFont="1" applyFill="1" applyBorder="1" applyAlignment="1">
      <alignment horizontal="center" vertical="center" wrapText="1"/>
    </xf>
    <xf numFmtId="0" fontId="246" fillId="0" borderId="1" xfId="3484" applyFont="1" applyBorder="1" applyAlignment="1">
      <alignment horizontal="center" vertical="center" wrapText="1"/>
    </xf>
    <xf numFmtId="0" fontId="246" fillId="0" borderId="1" xfId="0" applyFont="1" applyBorder="1" applyAlignment="1">
      <alignment horizontal="left" vertical="center" wrapText="1"/>
    </xf>
    <xf numFmtId="43" fontId="246" fillId="0" borderId="1" xfId="3230" applyFont="1" applyFill="1" applyBorder="1" applyAlignment="1">
      <alignment horizontal="center" vertical="center" wrapText="1"/>
    </xf>
    <xf numFmtId="0" fontId="246" fillId="0" borderId="1" xfId="3486" applyFont="1" applyBorder="1" applyAlignment="1">
      <alignment horizontal="center" vertical="center" wrapText="1"/>
    </xf>
    <xf numFmtId="0" fontId="245" fillId="0" borderId="1" xfId="3484" applyFont="1" applyBorder="1" applyAlignment="1">
      <alignment horizontal="center" vertical="center"/>
    </xf>
    <xf numFmtId="0" fontId="245" fillId="0" borderId="1" xfId="3484" applyFont="1" applyBorder="1" applyAlignment="1">
      <alignment vertical="center"/>
    </xf>
    <xf numFmtId="43" fontId="34" fillId="0" borderId="1" xfId="3230" applyFont="1" applyFill="1" applyBorder="1" applyAlignment="1">
      <alignment vertical="center"/>
    </xf>
    <xf numFmtId="43" fontId="34" fillId="0" borderId="1" xfId="3230" applyFont="1" applyFill="1" applyBorder="1" applyAlignment="1">
      <alignment horizontal="right" vertical="center"/>
    </xf>
    <xf numFmtId="190" fontId="9" fillId="0" borderId="1" xfId="3484" applyNumberFormat="1" applyFont="1" applyBorder="1" applyAlignment="1">
      <alignment horizontal="right" vertical="center"/>
    </xf>
    <xf numFmtId="0" fontId="9" fillId="0" borderId="1" xfId="3484" applyFont="1" applyBorder="1" applyAlignment="1">
      <alignment horizontal="center" vertical="center"/>
    </xf>
    <xf numFmtId="43" fontId="9" fillId="0" borderId="1" xfId="3230" applyFont="1" applyFill="1" applyBorder="1" applyAlignment="1">
      <alignment horizontal="right" vertical="center"/>
    </xf>
    <xf numFmtId="43" fontId="14" fillId="0" borderId="1" xfId="3230" applyFont="1" applyFill="1" applyBorder="1" applyAlignment="1">
      <alignment horizontal="right" vertical="center"/>
    </xf>
    <xf numFmtId="0" fontId="5" fillId="0" borderId="1" xfId="3485" applyFont="1" applyBorder="1" applyAlignment="1">
      <alignment vertical="center"/>
    </xf>
    <xf numFmtId="43" fontId="5" fillId="0" borderId="1" xfId="3230" applyFont="1" applyFill="1" applyBorder="1" applyAlignment="1">
      <alignment vertical="center"/>
    </xf>
    <xf numFmtId="190" fontId="9" fillId="0" borderId="1" xfId="3484" applyNumberFormat="1" applyFont="1" applyBorder="1" applyAlignment="1">
      <alignment vertical="center"/>
    </xf>
    <xf numFmtId="0" fontId="34" fillId="8" borderId="1" xfId="3484" applyFont="1" applyFill="1" applyBorder="1" applyAlignment="1">
      <alignment horizontal="center" vertical="center"/>
    </xf>
    <xf numFmtId="0" fontId="245" fillId="8" borderId="1" xfId="3484" applyFont="1" applyFill="1" applyBorder="1" applyAlignment="1">
      <alignment vertical="center"/>
    </xf>
    <xf numFmtId="190" fontId="9" fillId="8" borderId="1" xfId="3484" applyNumberFormat="1" applyFont="1" applyFill="1" applyBorder="1" applyAlignment="1">
      <alignment vertical="center"/>
    </xf>
    <xf numFmtId="0" fontId="5" fillId="0" borderId="1" xfId="3484" applyFont="1" applyBorder="1" applyAlignment="1">
      <alignment horizontal="center" vertical="center"/>
    </xf>
    <xf numFmtId="178" fontId="245" fillId="0" borderId="1" xfId="3484" applyNumberFormat="1" applyFont="1" applyBorder="1" applyAlignment="1">
      <alignment vertical="center" wrapText="1"/>
    </xf>
    <xf numFmtId="43" fontId="34" fillId="0" borderId="1" xfId="3230" applyFont="1" applyFill="1" applyBorder="1" applyAlignment="1">
      <alignment vertical="center" wrapText="1"/>
    </xf>
    <xf numFmtId="178" fontId="5" fillId="0" borderId="1" xfId="3484" applyNumberFormat="1" applyFont="1" applyBorder="1" applyAlignment="1">
      <alignment vertical="center"/>
    </xf>
    <xf numFmtId="49" fontId="247" fillId="0" borderId="1" xfId="0" applyNumberFormat="1" applyFont="1" applyBorder="1" applyAlignment="1">
      <alignment horizontal="left" vertical="center" wrapText="1"/>
    </xf>
    <xf numFmtId="178" fontId="5" fillId="0" borderId="1" xfId="3484" applyNumberFormat="1" applyFont="1" applyBorder="1" applyAlignment="1">
      <alignment vertical="center" wrapText="1"/>
    </xf>
    <xf numFmtId="178" fontId="34" fillId="8" borderId="1" xfId="3484" applyNumberFormat="1" applyFont="1" applyFill="1" applyBorder="1" applyAlignment="1">
      <alignment vertical="center"/>
    </xf>
    <xf numFmtId="0" fontId="25" fillId="0" borderId="0" xfId="3485" applyFont="1"/>
    <xf numFmtId="43" fontId="25" fillId="0" borderId="0" xfId="3485" applyNumberFormat="1" applyFont="1"/>
    <xf numFmtId="0" fontId="245" fillId="8" borderId="1" xfId="3484" applyFont="1" applyFill="1" applyBorder="1" applyAlignment="1">
      <alignment horizontal="center" vertical="center"/>
    </xf>
    <xf numFmtId="178" fontId="245" fillId="8" borderId="1" xfId="3484" applyNumberFormat="1" applyFont="1" applyFill="1" applyBorder="1" applyAlignment="1">
      <alignment vertical="center" wrapText="1"/>
    </xf>
    <xf numFmtId="43" fontId="34" fillId="8" borderId="1" xfId="3230" applyFont="1" applyFill="1" applyBorder="1" applyAlignment="1">
      <alignment vertical="center" wrapText="1"/>
    </xf>
    <xf numFmtId="0" fontId="248" fillId="0" borderId="1" xfId="0" applyFont="1" applyBorder="1" applyAlignment="1">
      <alignment horizontal="center" vertical="center"/>
    </xf>
    <xf numFmtId="43" fontId="116" fillId="0" borderId="1" xfId="0" applyNumberFormat="1" applyFont="1" applyBorder="1">
      <alignment vertical="center"/>
    </xf>
    <xf numFmtId="43" fontId="10" fillId="0" borderId="1" xfId="1" applyFont="1" applyBorder="1">
      <alignment vertical="center"/>
    </xf>
    <xf numFmtId="184" fontId="10" fillId="0" borderId="1" xfId="1" applyNumberFormat="1" applyFont="1" applyBorder="1">
      <alignment vertical="center"/>
    </xf>
    <xf numFmtId="43" fontId="28" fillId="0" borderId="0" xfId="3485" applyNumberFormat="1" applyFont="1"/>
    <xf numFmtId="49" fontId="238" fillId="77" borderId="0" xfId="0" applyNumberFormat="1" applyFont="1" applyFill="1" applyAlignment="1">
      <alignment horizontal="center"/>
    </xf>
    <xf numFmtId="178" fontId="238" fillId="0" borderId="0" xfId="0" applyNumberFormat="1" applyFont="1" applyAlignment="1">
      <alignment horizontal="center"/>
    </xf>
    <xf numFmtId="306" fontId="238" fillId="77" borderId="0" xfId="0" applyNumberFormat="1" applyFont="1" applyFill="1" applyAlignment="1">
      <alignment horizontal="center"/>
    </xf>
    <xf numFmtId="178" fontId="238" fillId="0" borderId="44" xfId="0" applyNumberFormat="1" applyFont="1" applyBorder="1" applyAlignment="1">
      <alignment horizontal="center"/>
    </xf>
    <xf numFmtId="178" fontId="250" fillId="0" borderId="0" xfId="0" applyNumberFormat="1" applyFont="1" applyAlignment="1"/>
    <xf numFmtId="0" fontId="249" fillId="0" borderId="0" xfId="0" applyFont="1" applyAlignment="1"/>
    <xf numFmtId="191" fontId="11" fillId="0" borderId="0" xfId="0" applyNumberFormat="1" applyFont="1" applyAlignment="1"/>
    <xf numFmtId="43" fontId="116" fillId="0" borderId="1" xfId="1" applyFont="1" applyBorder="1">
      <alignment vertical="center"/>
    </xf>
    <xf numFmtId="43" fontId="22" fillId="0" borderId="0" xfId="1" applyFont="1" applyFill="1" applyAlignment="1">
      <alignment horizontal="center" vertical="center"/>
    </xf>
    <xf numFmtId="177" fontId="252" fillId="0" borderId="1" xfId="0" applyNumberFormat="1" applyFont="1" applyBorder="1" applyAlignment="1">
      <alignment horizontal="center" vertical="center" wrapText="1"/>
    </xf>
    <xf numFmtId="43" fontId="22" fillId="0" borderId="0" xfId="1" applyFont="1" applyAlignment="1"/>
    <xf numFmtId="0" fontId="22" fillId="0" borderId="0" xfId="0" applyFont="1" applyAlignment="1"/>
    <xf numFmtId="0" fontId="22" fillId="0" borderId="0" xfId="0" applyFont="1" applyAlignment="1">
      <alignment horizontal="center" vertical="center" wrapText="1"/>
    </xf>
    <xf numFmtId="43" fontId="127" fillId="0" borderId="0" xfId="3230" applyFont="1" applyFill="1" applyBorder="1" applyAlignment="1">
      <alignment horizontal="left"/>
    </xf>
    <xf numFmtId="43" fontId="9" fillId="0" borderId="0" xfId="3230" applyFont="1" applyFill="1" applyBorder="1" applyAlignment="1" applyProtection="1">
      <alignment horizontal="left"/>
      <protection locked="0"/>
    </xf>
    <xf numFmtId="43" fontId="9" fillId="0" borderId="2" xfId="3230" applyFont="1" applyFill="1" applyBorder="1" applyAlignment="1" applyProtection="1">
      <alignment vertical="center"/>
      <protection locked="0"/>
    </xf>
    <xf numFmtId="43" fontId="77" fillId="0" borderId="33" xfId="3230" applyFont="1" applyFill="1" applyBorder="1" applyAlignment="1" applyProtection="1">
      <alignment vertical="center"/>
      <protection hidden="1"/>
    </xf>
    <xf numFmtId="43" fontId="254" fillId="0" borderId="1" xfId="3230" applyFont="1" applyFill="1" applyBorder="1" applyAlignment="1" applyProtection="1">
      <alignment vertical="center"/>
      <protection hidden="1"/>
    </xf>
    <xf numFmtId="43" fontId="77" fillId="0" borderId="1" xfId="3230" applyFont="1" applyFill="1" applyBorder="1" applyAlignment="1" applyProtection="1">
      <alignment vertical="center"/>
      <protection hidden="1"/>
    </xf>
    <xf numFmtId="0" fontId="244" fillId="0" borderId="0" xfId="2430" applyFont="1" applyFill="1" applyBorder="1" applyAlignment="1" applyProtection="1">
      <alignment horizontal="center" vertical="center"/>
    </xf>
    <xf numFmtId="49" fontId="127" fillId="0" borderId="0" xfId="3230" applyNumberFormat="1" applyFont="1" applyFill="1" applyAlignment="1">
      <alignment horizontal="right"/>
    </xf>
    <xf numFmtId="43" fontId="5" fillId="0" borderId="2" xfId="3230" applyFont="1" applyFill="1" applyBorder="1" applyAlignment="1" applyProtection="1">
      <alignment horizontal="left" vertical="center"/>
      <protection locked="0"/>
    </xf>
    <xf numFmtId="10" fontId="254" fillId="0" borderId="1" xfId="2" applyNumberFormat="1" applyFont="1" applyFill="1" applyBorder="1" applyAlignment="1" applyProtection="1">
      <alignment vertical="center"/>
      <protection hidden="1"/>
    </xf>
    <xf numFmtId="178" fontId="238" fillId="26" borderId="0" xfId="0" applyNumberFormat="1" applyFont="1" applyFill="1" applyAlignment="1"/>
    <xf numFmtId="178" fontId="238" fillId="0" borderId="0" xfId="0" applyNumberFormat="1" applyFont="1" applyAlignment="1"/>
    <xf numFmtId="178" fontId="250" fillId="2" borderId="0" xfId="0" applyNumberFormat="1" applyFont="1" applyFill="1" applyAlignment="1"/>
    <xf numFmtId="178" fontId="18" fillId="0" borderId="1" xfId="0" applyNumberFormat="1" applyFont="1" applyBorder="1">
      <alignment vertical="center"/>
    </xf>
    <xf numFmtId="178" fontId="250" fillId="0" borderId="1" xfId="0" applyNumberFormat="1" applyFont="1" applyBorder="1">
      <alignment vertical="center"/>
    </xf>
    <xf numFmtId="178" fontId="250" fillId="0" borderId="0" xfId="0" applyNumberFormat="1" applyFont="1">
      <alignment vertical="center"/>
    </xf>
    <xf numFmtId="0" fontId="249" fillId="0" borderId="0" xfId="0" applyFont="1" applyAlignment="1">
      <alignment horizontal="center" vertical="center" wrapText="1"/>
    </xf>
    <xf numFmtId="191" fontId="11" fillId="0" borderId="0" xfId="0" applyNumberFormat="1" applyFont="1" applyAlignment="1">
      <alignment horizontal="center"/>
    </xf>
    <xf numFmtId="43" fontId="22" fillId="2" borderId="0" xfId="1" applyFont="1" applyFill="1" applyAlignment="1">
      <alignment horizontal="center" vertical="center"/>
    </xf>
    <xf numFmtId="0" fontId="22" fillId="2" borderId="0" xfId="11" applyFont="1" applyFill="1">
      <alignment vertical="center"/>
    </xf>
    <xf numFmtId="0" fontId="10" fillId="0" borderId="0" xfId="2020" applyFont="1" applyAlignment="1">
      <alignment vertical="center"/>
    </xf>
    <xf numFmtId="0" fontId="27" fillId="4" borderId="0" xfId="2020" applyFont="1" applyFill="1" applyAlignment="1">
      <alignment vertical="center"/>
    </xf>
    <xf numFmtId="0" fontId="27" fillId="0" borderId="0" xfId="2020" applyFont="1" applyAlignment="1">
      <alignment vertical="center"/>
    </xf>
    <xf numFmtId="0" fontId="259" fillId="5" borderId="1" xfId="2020" applyFont="1" applyFill="1" applyBorder="1" applyAlignment="1">
      <alignment horizontal="center" vertical="center" wrapText="1"/>
    </xf>
    <xf numFmtId="0" fontId="76" fillId="5" borderId="1" xfId="2020" applyFont="1" applyFill="1" applyBorder="1" applyAlignment="1">
      <alignment horizontal="center" vertical="center" wrapText="1"/>
    </xf>
    <xf numFmtId="0" fontId="27" fillId="5" borderId="75" xfId="2020" applyFont="1" applyFill="1" applyBorder="1" applyAlignment="1">
      <alignment horizontal="center" vertical="center"/>
    </xf>
    <xf numFmtId="0" fontId="232" fillId="5" borderId="1" xfId="2020" applyFont="1" applyFill="1" applyBorder="1" applyAlignment="1">
      <alignment vertical="center"/>
    </xf>
    <xf numFmtId="181" fontId="27" fillId="5" borderId="1" xfId="2020" applyNumberFormat="1" applyFont="1" applyFill="1" applyBorder="1" applyAlignment="1">
      <alignment horizontal="center" vertical="center"/>
    </xf>
    <xf numFmtId="182" fontId="27" fillId="5" borderId="1" xfId="2020" applyNumberFormat="1" applyFont="1" applyFill="1" applyBorder="1" applyAlignment="1">
      <alignment horizontal="center" vertical="center"/>
    </xf>
    <xf numFmtId="180" fontId="25" fillId="5" borderId="79" xfId="2020" applyNumberFormat="1" applyFont="1" applyFill="1" applyBorder="1" applyAlignment="1">
      <alignment horizontal="center" vertical="center"/>
    </xf>
    <xf numFmtId="0" fontId="52" fillId="5" borderId="1" xfId="2020" applyFont="1" applyFill="1" applyBorder="1" applyAlignment="1">
      <alignment vertical="center"/>
    </xf>
    <xf numFmtId="0" fontId="232" fillId="5" borderId="1" xfId="2020" applyFont="1" applyFill="1" applyBorder="1" applyAlignment="1">
      <alignment vertical="center" wrapText="1"/>
    </xf>
    <xf numFmtId="0" fontId="259" fillId="5" borderId="80" xfId="2020" applyFont="1" applyFill="1" applyBorder="1" applyAlignment="1">
      <alignment horizontal="center" vertical="center"/>
    </xf>
    <xf numFmtId="0" fontId="259" fillId="5" borderId="81" xfId="2020" applyFont="1" applyFill="1" applyBorder="1" applyAlignment="1">
      <alignment vertical="center"/>
    </xf>
    <xf numFmtId="181" fontId="259" fillId="5" borderId="81" xfId="2020" applyNumberFormat="1" applyFont="1" applyFill="1" applyBorder="1" applyAlignment="1">
      <alignment horizontal="center" vertical="center"/>
    </xf>
    <xf numFmtId="182" fontId="259" fillId="5" borderId="81" xfId="2020" applyNumberFormat="1" applyFont="1" applyFill="1" applyBorder="1" applyAlignment="1">
      <alignment horizontal="center" vertical="center"/>
    </xf>
    <xf numFmtId="183" fontId="259" fillId="5" borderId="81" xfId="1" applyNumberFormat="1" applyFont="1" applyFill="1" applyBorder="1" applyAlignment="1">
      <alignment horizontal="center" vertical="center"/>
    </xf>
    <xf numFmtId="180" fontId="259" fillId="4" borderId="82" xfId="10" applyNumberFormat="1" applyFont="1" applyFill="1" applyBorder="1" applyAlignment="1">
      <alignment horizontal="center" vertical="center"/>
    </xf>
    <xf numFmtId="182" fontId="27" fillId="0" borderId="0" xfId="2020" applyNumberFormat="1" applyFont="1" applyAlignment="1">
      <alignment vertical="center"/>
    </xf>
    <xf numFmtId="0" fontId="10" fillId="0" borderId="0" xfId="2020" applyFont="1" applyAlignment="1">
      <alignment horizontal="center" vertical="center"/>
    </xf>
    <xf numFmtId="178" fontId="11" fillId="0" borderId="1" xfId="0" applyNumberFormat="1" applyFont="1" applyBorder="1" applyAlignment="1">
      <alignment horizontal="left" vertical="center"/>
    </xf>
    <xf numFmtId="43" fontId="249" fillId="0" borderId="0" xfId="1" applyFont="1" applyAlignment="1">
      <alignment horizontal="center" vertical="center" wrapText="1"/>
    </xf>
    <xf numFmtId="0" fontId="11" fillId="0" borderId="29" xfId="0" applyFont="1" applyBorder="1" applyAlignment="1">
      <alignment horizontal="center" vertical="center"/>
    </xf>
    <xf numFmtId="9" fontId="10" fillId="0" borderId="1" xfId="2" applyFont="1" applyBorder="1" applyAlignment="1">
      <alignment vertical="top"/>
    </xf>
    <xf numFmtId="43" fontId="35" fillId="0" borderId="1" xfId="0" applyNumberFormat="1" applyFont="1" applyBorder="1" applyAlignment="1">
      <alignment horizontal="left" vertical="center"/>
    </xf>
    <xf numFmtId="0" fontId="1" fillId="0" borderId="1" xfId="0" applyFont="1" applyBorder="1" applyAlignment="1">
      <alignment horizontal="center" vertical="center"/>
    </xf>
    <xf numFmtId="49" fontId="22" fillId="0" borderId="1" xfId="0" applyNumberFormat="1" applyFont="1" applyBorder="1" applyAlignment="1">
      <alignment horizontal="center" vertical="center"/>
    </xf>
    <xf numFmtId="0" fontId="249" fillId="0" borderId="0" xfId="0" applyFont="1" applyAlignment="1">
      <alignment wrapText="1"/>
    </xf>
    <xf numFmtId="191" fontId="11" fillId="0" borderId="0" xfId="0" applyNumberFormat="1" applyFont="1" applyAlignment="1">
      <alignment wrapText="1"/>
    </xf>
    <xf numFmtId="43" fontId="11" fillId="0" borderId="0" xfId="1" applyFont="1" applyAlignment="1">
      <alignment wrapText="1"/>
    </xf>
    <xf numFmtId="0" fontId="268" fillId="0" borderId="1" xfId="0" applyFont="1" applyFill="1" applyBorder="1" applyAlignment="1">
      <alignment horizontal="center" vertical="center" wrapText="1"/>
    </xf>
    <xf numFmtId="0" fontId="271" fillId="0" borderId="0" xfId="0" applyFont="1" applyAlignment="1">
      <alignment horizontal="centerContinuous" vertical="center"/>
    </xf>
    <xf numFmtId="0" fontId="272" fillId="0" borderId="0" xfId="0" applyFont="1" applyAlignment="1">
      <alignment horizontal="centerContinuous" vertical="center"/>
    </xf>
    <xf numFmtId="0" fontId="13" fillId="0" borderId="0" xfId="0" applyFont="1" applyAlignment="1">
      <alignment horizontal="centerContinuous" vertical="center"/>
    </xf>
    <xf numFmtId="0" fontId="273" fillId="0" borderId="0" xfId="0" applyFont="1" applyAlignment="1">
      <alignment horizontal="centerContinuous" vertical="center"/>
    </xf>
    <xf numFmtId="0" fontId="273" fillId="0" borderId="0" xfId="0" applyFont="1">
      <alignment vertical="center"/>
    </xf>
    <xf numFmtId="0" fontId="273" fillId="0" borderId="0" xfId="0" applyFont="1" applyAlignment="1">
      <alignment horizontal="right" vertical="center"/>
    </xf>
    <xf numFmtId="0" fontId="274" fillId="0" borderId="83" xfId="3489" applyFont="1" applyBorder="1" applyAlignment="1" applyProtection="1">
      <alignment horizontal="center" vertical="center"/>
    </xf>
    <xf numFmtId="0" fontId="10" fillId="2" borderId="84" xfId="0" applyNumberFormat="1" applyFont="1" applyFill="1" applyBorder="1" applyAlignment="1">
      <alignment horizontal="center" vertical="center"/>
    </xf>
    <xf numFmtId="0" fontId="11" fillId="2" borderId="0" xfId="0" applyNumberFormat="1" applyFont="1" applyFill="1" applyBorder="1" applyAlignment="1">
      <alignment horizontal="center" vertical="center"/>
    </xf>
    <xf numFmtId="0" fontId="276" fillId="0" borderId="85" xfId="3489" applyFont="1" applyBorder="1" applyAlignment="1" applyProtection="1">
      <alignment horizontal="left" vertical="center"/>
    </xf>
    <xf numFmtId="0" fontId="276" fillId="0" borderId="85" xfId="3489" applyFont="1" applyFill="1" applyBorder="1" applyProtection="1"/>
    <xf numFmtId="0" fontId="276" fillId="0" borderId="85" xfId="3489" applyFont="1" applyBorder="1" applyAlignment="1" applyProtection="1">
      <alignment horizontal="left"/>
    </xf>
    <xf numFmtId="43" fontId="270" fillId="0" borderId="0" xfId="1" applyFont="1">
      <alignment vertical="center"/>
    </xf>
    <xf numFmtId="0" fontId="22" fillId="2" borderId="0" xfId="0" applyFont="1" applyFill="1">
      <alignment vertical="center"/>
    </xf>
    <xf numFmtId="43" fontId="276" fillId="0" borderId="85" xfId="1" applyFont="1" applyBorder="1" applyAlignment="1" applyProtection="1">
      <alignment horizontal="left" shrinkToFit="1"/>
    </xf>
    <xf numFmtId="0" fontId="276" fillId="0" borderId="85" xfId="3489" applyFont="1" applyBorder="1" applyProtection="1"/>
    <xf numFmtId="0" fontId="274" fillId="0" borderId="85" xfId="3489" applyFont="1" applyBorder="1" applyAlignment="1" applyProtection="1">
      <alignment horizontal="left"/>
    </xf>
    <xf numFmtId="0" fontId="276" fillId="0" borderId="86" xfId="3489" applyFont="1" applyBorder="1" applyProtection="1"/>
    <xf numFmtId="43" fontId="270" fillId="2" borderId="0" xfId="1" applyFont="1" applyFill="1">
      <alignment vertical="center"/>
    </xf>
    <xf numFmtId="0" fontId="274" fillId="0" borderId="86" xfId="3489" applyFont="1" applyBorder="1" applyAlignment="1" applyProtection="1">
      <alignment horizontal="left"/>
    </xf>
    <xf numFmtId="0" fontId="17" fillId="0" borderId="83" xfId="0" applyFont="1" applyFill="1" applyBorder="1">
      <alignment vertical="center"/>
    </xf>
    <xf numFmtId="43" fontId="270" fillId="0" borderId="84" xfId="1" applyNumberFormat="1" applyFont="1" applyBorder="1">
      <alignment vertical="center"/>
    </xf>
    <xf numFmtId="43" fontId="270" fillId="0" borderId="0" xfId="1" applyNumberFormat="1" applyFont="1" applyBorder="1">
      <alignment vertical="center"/>
    </xf>
    <xf numFmtId="0" fontId="116" fillId="2" borderId="1" xfId="11" applyFont="1" applyFill="1" applyBorder="1" applyAlignment="1">
      <alignment horizontal="center" vertical="center"/>
    </xf>
    <xf numFmtId="0" fontId="13" fillId="0" borderId="0" xfId="11" applyFont="1">
      <alignment vertical="center"/>
    </xf>
    <xf numFmtId="0" fontId="116" fillId="0" borderId="1" xfId="11" applyFont="1" applyFill="1" applyBorder="1" applyAlignment="1">
      <alignment horizontal="center" vertical="center" wrapText="1"/>
    </xf>
    <xf numFmtId="0" fontId="116" fillId="0" borderId="1" xfId="11" applyFont="1" applyFill="1" applyBorder="1" applyAlignment="1">
      <alignment horizontal="center" vertical="center"/>
    </xf>
    <xf numFmtId="0" fontId="35" fillId="0" borderId="1" xfId="11" applyFont="1" applyFill="1" applyBorder="1" applyAlignment="1">
      <alignment horizontal="center" vertical="center" wrapText="1"/>
    </xf>
    <xf numFmtId="0" fontId="10" fillId="0" borderId="0" xfId="11" applyFont="1" applyAlignment="1">
      <alignment vertical="center" wrapText="1"/>
    </xf>
    <xf numFmtId="0" fontId="10" fillId="0" borderId="0" xfId="11" applyFont="1">
      <alignment vertical="center"/>
    </xf>
    <xf numFmtId="0" fontId="278" fillId="0" borderId="1" xfId="11" applyFont="1" applyBorder="1" applyAlignment="1">
      <alignment horizontal="center" vertical="center" wrapText="1"/>
    </xf>
    <xf numFmtId="0" fontId="247" fillId="0" borderId="1" xfId="11" applyFont="1" applyBorder="1" applyAlignment="1">
      <alignment horizontal="left" vertical="center" wrapText="1"/>
    </xf>
    <xf numFmtId="10" fontId="279" fillId="0" borderId="1" xfId="11" applyNumberFormat="1" applyFont="1" applyBorder="1" applyAlignment="1">
      <alignment horizontal="right" vertical="center" wrapText="1"/>
    </xf>
    <xf numFmtId="0" fontId="279" fillId="0" borderId="1" xfId="11" applyFont="1" applyBorder="1" applyAlignment="1">
      <alignment horizontal="center" vertical="center" wrapText="1"/>
    </xf>
    <xf numFmtId="0" fontId="247" fillId="0" borderId="1" xfId="11" applyFont="1" applyBorder="1" applyAlignment="1">
      <alignment horizontal="center" vertical="center" wrapText="1"/>
    </xf>
    <xf numFmtId="0" fontId="0" fillId="0" borderId="0" xfId="0" applyFill="1">
      <alignment vertical="center"/>
    </xf>
    <xf numFmtId="0" fontId="0" fillId="0" borderId="0" xfId="0" applyFill="1" applyAlignment="1"/>
    <xf numFmtId="0" fontId="0" fillId="0" borderId="0" xfId="0" applyFill="1" applyAlignment="1">
      <alignment horizontal="center" vertical="center"/>
    </xf>
    <xf numFmtId="0" fontId="249" fillId="0" borderId="0" xfId="0" applyFont="1" applyFill="1" applyAlignment="1"/>
    <xf numFmtId="43" fontId="22" fillId="0" borderId="0" xfId="1" applyFont="1" applyFill="1" applyAlignment="1"/>
    <xf numFmtId="43" fontId="249" fillId="0" borderId="0" xfId="1" applyFont="1" applyFill="1" applyAlignment="1">
      <alignment horizontal="right" vertical="center"/>
    </xf>
    <xf numFmtId="43" fontId="11" fillId="0" borderId="0" xfId="1" applyFont="1" applyFill="1" applyAlignment="1">
      <alignment horizontal="right" vertical="center"/>
    </xf>
    <xf numFmtId="43" fontId="22" fillId="0" borderId="0" xfId="1" applyFont="1" applyFill="1">
      <alignment vertical="center"/>
    </xf>
    <xf numFmtId="304" fontId="239" fillId="0" borderId="0" xfId="0" applyNumberFormat="1" applyFont="1" applyFill="1" applyAlignment="1">
      <alignment horizontal="right" vertical="center"/>
    </xf>
    <xf numFmtId="303" fontId="239" fillId="0" borderId="0" xfId="0" applyNumberFormat="1" applyFont="1" applyFill="1" applyAlignment="1">
      <alignment horizontal="right" vertical="center"/>
    </xf>
    <xf numFmtId="191" fontId="239" fillId="0" borderId="0" xfId="0" applyNumberFormat="1" applyFont="1" applyFill="1" applyAlignment="1">
      <alignment horizontal="right" vertical="center"/>
    </xf>
    <xf numFmtId="43" fontId="239" fillId="0" borderId="0" xfId="1" applyFont="1" applyFill="1" applyAlignment="1">
      <alignment horizontal="right" vertical="center"/>
    </xf>
    <xf numFmtId="0" fontId="239" fillId="0" borderId="0" xfId="0" applyFont="1" applyFill="1" applyAlignment="1">
      <alignment horizontal="right" vertical="center"/>
    </xf>
    <xf numFmtId="0" fontId="240" fillId="0" borderId="0" xfId="0" applyFont="1" applyFill="1" applyAlignment="1">
      <alignment horizontal="left" vertical="center"/>
    </xf>
    <xf numFmtId="43" fontId="0" fillId="0" borderId="0" xfId="1" applyFont="1" applyFill="1" applyAlignment="1"/>
    <xf numFmtId="0" fontId="13" fillId="0" borderId="0" xfId="0" applyFont="1" applyAlignment="1">
      <alignment horizontal="left" vertical="center"/>
    </xf>
    <xf numFmtId="43" fontId="0" fillId="0" borderId="0" xfId="0" applyNumberFormat="1" applyFill="1">
      <alignment vertical="center"/>
    </xf>
    <xf numFmtId="0" fontId="21" fillId="0" borderId="1" xfId="0" applyFont="1" applyFill="1" applyBorder="1" applyAlignment="1">
      <alignment horizontal="center" vertical="center"/>
    </xf>
    <xf numFmtId="43" fontId="22" fillId="0" borderId="1" xfId="1" applyFont="1" applyFill="1" applyBorder="1" applyAlignment="1">
      <alignment horizontal="center" vertical="center"/>
    </xf>
    <xf numFmtId="179" fontId="22" fillId="0" borderId="1" xfId="0" applyNumberFormat="1" applyFont="1" applyFill="1" applyBorder="1" applyAlignment="1">
      <alignment vertical="top"/>
    </xf>
    <xf numFmtId="177" fontId="22" fillId="0" borderId="0" xfId="0" applyNumberFormat="1" applyFont="1" applyFill="1" applyAlignment="1">
      <alignment vertical="top"/>
    </xf>
    <xf numFmtId="0" fontId="22" fillId="0" borderId="0" xfId="0" applyFont="1" applyFill="1">
      <alignment vertical="center"/>
    </xf>
    <xf numFmtId="0" fontId="274" fillId="0" borderId="85" xfId="3489" applyFont="1" applyBorder="1" applyAlignment="1" applyProtection="1">
      <alignment horizontal="left" wrapText="1"/>
    </xf>
    <xf numFmtId="49" fontId="281" fillId="0" borderId="1" xfId="0" applyNumberFormat="1" applyFont="1" applyFill="1" applyBorder="1" applyAlignment="1">
      <alignment horizontal="center" vertical="center"/>
    </xf>
    <xf numFmtId="43" fontId="277" fillId="95" borderId="0" xfId="1" applyFont="1" applyFill="1" applyBorder="1">
      <alignment vertical="center"/>
    </xf>
    <xf numFmtId="43" fontId="270" fillId="95" borderId="0" xfId="1" applyFont="1" applyFill="1" applyBorder="1">
      <alignment vertical="center"/>
    </xf>
    <xf numFmtId="43" fontId="277" fillId="95" borderId="87" xfId="1" applyFont="1" applyFill="1" applyBorder="1">
      <alignment vertical="center"/>
    </xf>
    <xf numFmtId="10" fontId="0" fillId="0" borderId="0" xfId="2" applyNumberFormat="1" applyFont="1">
      <alignment vertical="center"/>
    </xf>
    <xf numFmtId="43" fontId="270" fillId="95" borderId="87" xfId="1" applyFont="1" applyFill="1" applyBorder="1">
      <alignment vertical="center"/>
    </xf>
    <xf numFmtId="0" fontId="264" fillId="94" borderId="88" xfId="0" applyFont="1" applyFill="1" applyBorder="1" applyAlignment="1">
      <alignment horizontal="center" vertical="center" wrapText="1"/>
    </xf>
    <xf numFmtId="43" fontId="22" fillId="95" borderId="0" xfId="1" applyFont="1" applyFill="1">
      <alignment vertical="center"/>
    </xf>
    <xf numFmtId="0" fontId="22" fillId="0" borderId="88" xfId="0" applyFont="1" applyBorder="1">
      <alignment vertical="center"/>
    </xf>
    <xf numFmtId="43" fontId="270" fillId="0" borderId="88" xfId="1" applyFont="1" applyBorder="1">
      <alignment vertical="center"/>
    </xf>
    <xf numFmtId="0" fontId="0" fillId="0" borderId="88" xfId="0" applyBorder="1">
      <alignment vertical="center"/>
    </xf>
    <xf numFmtId="10" fontId="270" fillId="0" borderId="88" xfId="2" applyNumberFormat="1" applyFont="1" applyBorder="1">
      <alignment vertical="center"/>
    </xf>
    <xf numFmtId="0" fontId="276" fillId="0" borderId="0" xfId="3489" applyFont="1" applyProtection="1"/>
    <xf numFmtId="43" fontId="270" fillId="95" borderId="0" xfId="1" applyFont="1" applyFill="1">
      <alignment vertical="center"/>
    </xf>
    <xf numFmtId="0" fontId="285" fillId="94" borderId="88" xfId="0" applyFont="1" applyFill="1" applyBorder="1" applyAlignment="1">
      <alignment horizontal="center" vertical="center" wrapText="1"/>
    </xf>
    <xf numFmtId="0" fontId="287" fillId="94" borderId="88" xfId="0" applyFont="1" applyFill="1" applyBorder="1" applyAlignment="1">
      <alignment horizontal="center" vertical="center" wrapText="1"/>
    </xf>
    <xf numFmtId="0" fontId="268" fillId="0" borderId="88" xfId="0" applyFont="1" applyFill="1" applyBorder="1" applyAlignment="1">
      <alignment horizontal="center" vertical="center" wrapText="1"/>
    </xf>
    <xf numFmtId="0" fontId="29" fillId="0" borderId="2" xfId="0" applyFont="1" applyBorder="1" applyAlignment="1">
      <alignment horizontal="center" vertical="center"/>
    </xf>
    <xf numFmtId="0" fontId="30" fillId="0" borderId="2" xfId="0" applyFont="1" applyBorder="1" applyAlignment="1">
      <alignment horizontal="center" vertical="center"/>
    </xf>
    <xf numFmtId="0" fontId="43" fillId="0" borderId="2" xfId="0" applyFont="1" applyBorder="1" applyAlignment="1">
      <alignment horizontal="center" vertical="center"/>
    </xf>
    <xf numFmtId="0" fontId="42" fillId="0" borderId="0" xfId="0" applyFont="1" applyAlignment="1">
      <alignment horizontal="center" vertical="center"/>
    </xf>
    <xf numFmtId="0" fontId="20" fillId="0" borderId="6"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3" xfId="0" applyFont="1" applyBorder="1" applyAlignment="1">
      <alignment horizontal="center" vertical="center" wrapText="1"/>
    </xf>
    <xf numFmtId="0" fontId="10" fillId="0" borderId="1" xfId="0" applyFont="1" applyBorder="1" applyAlignment="1">
      <alignment horizontal="center" vertical="center" wrapText="1"/>
    </xf>
    <xf numFmtId="0" fontId="0" fillId="0" borderId="0" xfId="0" applyAlignment="1">
      <alignment horizontal="center" vertical="center"/>
    </xf>
    <xf numFmtId="0" fontId="25" fillId="0" borderId="22" xfId="14" applyFont="1" applyBorder="1" applyAlignment="1">
      <alignment horizontal="center" vertical="center" wrapText="1"/>
    </xf>
    <xf numFmtId="0" fontId="25" fillId="0" borderId="24" xfId="14" applyFont="1" applyBorder="1" applyAlignment="1">
      <alignment horizontal="center" vertical="center" wrapText="1"/>
    </xf>
    <xf numFmtId="0" fontId="25" fillId="0" borderId="23" xfId="14" applyFont="1" applyBorder="1" applyAlignment="1">
      <alignment horizontal="center" vertical="center" wrapText="1"/>
    </xf>
    <xf numFmtId="0" fontId="25" fillId="0" borderId="1" xfId="14" applyFont="1" applyBorder="1" applyAlignment="1">
      <alignment horizontal="center" vertical="center" wrapText="1"/>
    </xf>
    <xf numFmtId="0" fontId="25" fillId="0" borderId="36" xfId="14" applyFont="1" applyBorder="1" applyAlignment="1">
      <alignment horizontal="center" vertical="center" wrapText="1"/>
    </xf>
    <xf numFmtId="1" fontId="25" fillId="0" borderId="22" xfId="14" applyNumberFormat="1" applyFont="1" applyBorder="1" applyAlignment="1">
      <alignment horizontal="center" vertical="center" wrapText="1"/>
    </xf>
    <xf numFmtId="1" fontId="25" fillId="0" borderId="23" xfId="14" applyNumberFormat="1" applyFont="1" applyBorder="1" applyAlignment="1">
      <alignment horizontal="center" vertical="center" wrapText="1"/>
    </xf>
    <xf numFmtId="1" fontId="25" fillId="0" borderId="36" xfId="14" applyNumberFormat="1" applyFont="1" applyBorder="1" applyAlignment="1">
      <alignment horizontal="center" vertical="center" wrapText="1"/>
    </xf>
    <xf numFmtId="4" fontId="25" fillId="0" borderId="37" xfId="14" applyNumberFormat="1" applyFont="1" applyBorder="1" applyAlignment="1">
      <alignment horizontal="center" vertical="center"/>
    </xf>
    <xf numFmtId="4" fontId="25" fillId="0" borderId="26" xfId="14" applyNumberFormat="1" applyFont="1" applyBorder="1" applyAlignment="1">
      <alignment horizontal="center" vertical="center"/>
    </xf>
    <xf numFmtId="4" fontId="25" fillId="0" borderId="38" xfId="14" applyNumberFormat="1" applyFont="1" applyBorder="1" applyAlignment="1">
      <alignment horizontal="center" vertical="center"/>
    </xf>
    <xf numFmtId="4" fontId="25" fillId="0" borderId="39" xfId="14" applyNumberFormat="1" applyFont="1" applyBorder="1" applyAlignment="1">
      <alignment horizontal="center" vertical="center"/>
    </xf>
    <xf numFmtId="0" fontId="28" fillId="0" borderId="1" xfId="14" applyFont="1" applyBorder="1" applyAlignment="1">
      <alignment horizontal="left" vertical="center"/>
    </xf>
    <xf numFmtId="0" fontId="4" fillId="0" borderId="3" xfId="14" applyBorder="1" applyAlignment="1">
      <alignment horizontal="left" vertical="center"/>
    </xf>
    <xf numFmtId="0" fontId="28" fillId="0" borderId="4" xfId="14" applyFont="1" applyBorder="1" applyAlignment="1">
      <alignment horizontal="left" vertical="center"/>
    </xf>
    <xf numFmtId="0" fontId="4" fillId="0" borderId="1" xfId="14" applyBorder="1" applyAlignment="1">
      <alignment horizontal="left" vertical="center"/>
    </xf>
    <xf numFmtId="0" fontId="4" fillId="0" borderId="3" xfId="14" applyBorder="1" applyAlignment="1">
      <alignment horizontal="left" vertical="center" wrapText="1"/>
    </xf>
    <xf numFmtId="0" fontId="4" fillId="0" borderId="4" xfId="14" applyBorder="1" applyAlignment="1">
      <alignment horizontal="left" vertical="center" wrapText="1"/>
    </xf>
    <xf numFmtId="0" fontId="25" fillId="0" borderId="1" xfId="14" applyFont="1" applyBorder="1" applyAlignment="1">
      <alignment vertical="center" wrapText="1"/>
    </xf>
    <xf numFmtId="0" fontId="26" fillId="0" borderId="26" xfId="14" applyFont="1" applyBorder="1" applyAlignment="1">
      <alignment horizontal="left" vertical="center" wrapText="1"/>
    </xf>
    <xf numFmtId="0" fontId="25" fillId="0" borderId="27" xfId="14" applyFont="1" applyBorder="1" applyAlignment="1">
      <alignment horizontal="left" vertical="center" wrapText="1"/>
    </xf>
    <xf numFmtId="184" fontId="17" fillId="0" borderId="16" xfId="0" applyNumberFormat="1" applyFont="1" applyBorder="1" applyAlignment="1">
      <alignment horizontal="center" vertical="center"/>
    </xf>
    <xf numFmtId="0" fontId="17" fillId="0" borderId="16" xfId="0" applyFont="1" applyBorder="1" applyAlignment="1">
      <alignment horizontal="center" vertical="center"/>
    </xf>
    <xf numFmtId="0" fontId="21" fillId="0" borderId="3" xfId="0" applyFont="1" applyFill="1" applyBorder="1" applyAlignment="1">
      <alignment horizontal="center" vertical="center"/>
    </xf>
    <xf numFmtId="0" fontId="21" fillId="0" borderId="90"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91" xfId="0" applyFont="1" applyFill="1" applyBorder="1" applyAlignment="1">
      <alignment horizontal="center" vertical="center"/>
    </xf>
    <xf numFmtId="0" fontId="21" fillId="0" borderId="92" xfId="0" applyFont="1" applyFill="1" applyBorder="1" applyAlignment="1">
      <alignment horizontal="center" vertical="center"/>
    </xf>
    <xf numFmtId="178" fontId="47" fillId="0" borderId="0" xfId="3484" applyNumberFormat="1" applyFont="1" applyAlignment="1">
      <alignment horizontal="center" vertical="center" wrapText="1"/>
    </xf>
    <xf numFmtId="178" fontId="243" fillId="0" borderId="0" xfId="3484" applyNumberFormat="1" applyFont="1" applyAlignment="1">
      <alignment horizontal="center" vertical="center" wrapText="1"/>
    </xf>
    <xf numFmtId="178" fontId="9" fillId="0" borderId="0" xfId="3484" applyNumberFormat="1" applyFont="1" applyAlignment="1">
      <alignment horizontal="left" vertical="center" wrapText="1"/>
    </xf>
    <xf numFmtId="0" fontId="116" fillId="0" borderId="1" xfId="11" applyFont="1" applyFill="1" applyBorder="1" applyAlignment="1">
      <alignment horizontal="center" vertical="center"/>
    </xf>
    <xf numFmtId="0" fontId="116" fillId="0" borderId="3" xfId="11" applyFont="1" applyFill="1" applyBorder="1" applyAlignment="1">
      <alignment horizontal="center" vertical="center"/>
    </xf>
    <xf numFmtId="0" fontId="116" fillId="0" borderId="4" xfId="11" applyFont="1" applyFill="1" applyBorder="1" applyAlignment="1">
      <alignment horizontal="center" vertical="center"/>
    </xf>
    <xf numFmtId="0" fontId="116" fillId="0" borderId="6" xfId="11" applyFont="1" applyFill="1" applyBorder="1" applyAlignment="1">
      <alignment horizontal="center" vertical="center" wrapText="1"/>
    </xf>
    <xf numFmtId="0" fontId="116" fillId="0" borderId="35" xfId="11" applyFont="1" applyFill="1" applyBorder="1" applyAlignment="1">
      <alignment horizontal="center" vertical="center" wrapText="1"/>
    </xf>
    <xf numFmtId="0" fontId="116" fillId="0" borderId="33" xfId="11" applyFont="1" applyFill="1" applyBorder="1" applyAlignment="1">
      <alignment horizontal="center" vertical="center" wrapText="1"/>
    </xf>
    <xf numFmtId="0" fontId="116" fillId="0" borderId="6" xfId="11" applyFont="1" applyFill="1" applyBorder="1" applyAlignment="1">
      <alignment horizontal="center" vertical="center"/>
    </xf>
    <xf numFmtId="0" fontId="116" fillId="0" borderId="35" xfId="11" applyFont="1" applyFill="1" applyBorder="1" applyAlignment="1">
      <alignment horizontal="center" vertical="center"/>
    </xf>
    <xf numFmtId="0" fontId="116" fillId="0" borderId="33" xfId="11" applyFont="1" applyFill="1" applyBorder="1" applyAlignment="1">
      <alignment horizontal="center" vertical="center"/>
    </xf>
    <xf numFmtId="0" fontId="116" fillId="0" borderId="1" xfId="11" applyFont="1" applyFill="1" applyBorder="1" applyAlignment="1">
      <alignment horizontal="center" vertical="center" wrapText="1"/>
    </xf>
    <xf numFmtId="0" fontId="279" fillId="0" borderId="1" xfId="11" applyFont="1" applyBorder="1" applyAlignment="1">
      <alignment horizontal="center" vertical="center" wrapText="1"/>
    </xf>
    <xf numFmtId="0" fontId="247" fillId="0" borderId="1" xfId="11" applyFont="1" applyBorder="1" applyAlignment="1">
      <alignment horizontal="center" vertical="center" wrapText="1"/>
    </xf>
    <xf numFmtId="0" fontId="35" fillId="0" borderId="1" xfId="11" applyFont="1" applyFill="1" applyBorder="1" applyAlignment="1">
      <alignment horizontal="center" vertical="center" wrapText="1"/>
    </xf>
    <xf numFmtId="0" fontId="24" fillId="0" borderId="6" xfId="11" applyBorder="1" applyAlignment="1">
      <alignment horizontal="center" vertical="center"/>
    </xf>
    <xf numFmtId="0" fontId="24" fillId="0" borderId="35" xfId="11" applyBorder="1" applyAlignment="1">
      <alignment horizontal="center" vertical="center"/>
    </xf>
    <xf numFmtId="0" fontId="24" fillId="0" borderId="33" xfId="11" applyBorder="1" applyAlignment="1">
      <alignment horizontal="center" vertical="center"/>
    </xf>
    <xf numFmtId="0" fontId="247" fillId="0" borderId="6" xfId="11" applyFont="1" applyBorder="1" applyAlignment="1">
      <alignment horizontal="center" vertical="center" wrapText="1"/>
    </xf>
    <xf numFmtId="0" fontId="247" fillId="0" borderId="33" xfId="11" applyFont="1" applyBorder="1" applyAlignment="1">
      <alignment horizontal="center" vertical="center" wrapText="1"/>
    </xf>
    <xf numFmtId="0" fontId="279" fillId="0" borderId="6" xfId="11" applyFont="1" applyBorder="1" applyAlignment="1">
      <alignment horizontal="center" vertical="center" wrapText="1"/>
    </xf>
    <xf numFmtId="0" fontId="279" fillId="0" borderId="33" xfId="11" applyFont="1" applyBorder="1" applyAlignment="1">
      <alignment horizontal="center" vertical="center" wrapText="1"/>
    </xf>
    <xf numFmtId="0" fontId="279" fillId="0" borderId="35" xfId="11" applyFont="1" applyBorder="1" applyAlignment="1">
      <alignment horizontal="center" vertical="center" wrapText="1"/>
    </xf>
    <xf numFmtId="0" fontId="4" fillId="0" borderId="2" xfId="4" applyBorder="1" applyAlignment="1">
      <alignment horizontal="center"/>
    </xf>
    <xf numFmtId="0" fontId="8" fillId="0" borderId="2" xfId="4" applyFont="1" applyBorder="1" applyAlignment="1">
      <alignment horizontal="center"/>
    </xf>
    <xf numFmtId="0" fontId="261" fillId="0" borderId="0" xfId="2020" applyFont="1" applyAlignment="1">
      <alignment horizontal="left" vertical="center"/>
    </xf>
    <xf numFmtId="0" fontId="10" fillId="0" borderId="0" xfId="2020" applyFont="1" applyAlignment="1">
      <alignment horizontal="left" vertical="center"/>
    </xf>
    <xf numFmtId="0" fontId="257" fillId="93" borderId="0" xfId="2020" applyFont="1" applyFill="1" applyAlignment="1">
      <alignment horizontal="center" vertical="center" wrapText="1"/>
    </xf>
    <xf numFmtId="0" fontId="258" fillId="93" borderId="0" xfId="2020" applyFont="1" applyFill="1" applyAlignment="1">
      <alignment horizontal="center" vertical="center" wrapText="1"/>
    </xf>
    <xf numFmtId="0" fontId="259" fillId="5" borderId="76" xfId="2020" applyFont="1" applyFill="1" applyBorder="1" applyAlignment="1">
      <alignment horizontal="center" vertical="center" wrapText="1"/>
    </xf>
    <xf numFmtId="0" fontId="259" fillId="5" borderId="75" xfId="2020" applyFont="1" applyFill="1" applyBorder="1" applyAlignment="1">
      <alignment horizontal="center" vertical="center" wrapText="1"/>
    </xf>
    <xf numFmtId="0" fontId="76" fillId="5" borderId="77" xfId="2020" applyFont="1" applyFill="1" applyBorder="1" applyAlignment="1">
      <alignment horizontal="center" vertical="center" wrapText="1"/>
    </xf>
    <xf numFmtId="0" fontId="259" fillId="5" borderId="1" xfId="2020" applyFont="1" applyFill="1" applyBorder="1" applyAlignment="1">
      <alignment horizontal="center" vertical="center" wrapText="1"/>
    </xf>
    <xf numFmtId="0" fontId="259" fillId="5" borderId="77" xfId="2020" applyFont="1" applyFill="1" applyBorder="1" applyAlignment="1">
      <alignment horizontal="center" vertical="center" wrapText="1"/>
    </xf>
    <xf numFmtId="0" fontId="76" fillId="5" borderId="78" xfId="2020" applyFont="1" applyFill="1" applyBorder="1" applyAlignment="1">
      <alignment horizontal="center" vertical="center" wrapText="1"/>
    </xf>
    <xf numFmtId="0" fontId="259" fillId="5" borderId="79" xfId="2020" applyFont="1" applyFill="1" applyBorder="1" applyAlignment="1">
      <alignment horizontal="center" vertical="center" wrapText="1"/>
    </xf>
    <xf numFmtId="0" fontId="280" fillId="0" borderId="0" xfId="0" applyFont="1" applyFill="1" applyAlignment="1">
      <alignment horizontal="left"/>
    </xf>
    <xf numFmtId="0" fontId="253" fillId="0" borderId="0" xfId="3487" applyFont="1" applyFill="1" applyAlignment="1">
      <alignment horizontal="center" vertical="center"/>
    </xf>
    <xf numFmtId="0" fontId="28" fillId="0" borderId="0" xfId="3487" applyFont="1" applyFill="1"/>
    <xf numFmtId="0" fontId="127" fillId="0" borderId="0" xfId="3487" applyFont="1" applyFill="1" applyAlignment="1">
      <alignment horizontal="centerContinuous"/>
    </xf>
    <xf numFmtId="178" fontId="5" fillId="0" borderId="0" xfId="0" applyNumberFormat="1" applyFont="1" applyFill="1" applyProtection="1">
      <alignment vertical="center"/>
      <protection hidden="1"/>
    </xf>
    <xf numFmtId="305" fontId="5" fillId="0" borderId="2" xfId="0" applyNumberFormat="1" applyFont="1" applyFill="1" applyBorder="1" applyProtection="1">
      <alignment vertical="center"/>
      <protection hidden="1"/>
    </xf>
    <xf numFmtId="0" fontId="28" fillId="0" borderId="0" xfId="3487" applyFont="1" applyFill="1" applyAlignment="1">
      <alignment horizontal="center" vertical="center"/>
    </xf>
    <xf numFmtId="178" fontId="245" fillId="0" borderId="73" xfId="0" applyNumberFormat="1" applyFont="1" applyFill="1" applyBorder="1" applyAlignment="1" applyProtection="1">
      <alignment horizontal="center" vertical="center" wrapText="1"/>
      <protection hidden="1"/>
    </xf>
    <xf numFmtId="178" fontId="245" fillId="0" borderId="34" xfId="0" applyNumberFormat="1" applyFont="1" applyFill="1" applyBorder="1" applyAlignment="1" applyProtection="1">
      <alignment horizontal="center" vertical="center" wrapText="1"/>
      <protection hidden="1"/>
    </xf>
    <xf numFmtId="178" fontId="254" fillId="0" borderId="7" xfId="0" applyNumberFormat="1" applyFont="1" applyFill="1" applyBorder="1" applyAlignment="1" applyProtection="1">
      <alignment horizontal="center" vertical="center" wrapText="1"/>
      <protection hidden="1"/>
    </xf>
    <xf numFmtId="178" fontId="245" fillId="0" borderId="1" xfId="0" applyNumberFormat="1" applyFont="1" applyFill="1" applyBorder="1" applyAlignment="1" applyProtection="1">
      <alignment horizontal="center" vertical="center" wrapText="1"/>
      <protection hidden="1"/>
    </xf>
    <xf numFmtId="178" fontId="254" fillId="0" borderId="74" xfId="0" applyNumberFormat="1" applyFont="1" applyFill="1" applyBorder="1" applyAlignment="1" applyProtection="1">
      <alignment horizontal="center" vertical="center" wrapText="1"/>
      <protection hidden="1"/>
    </xf>
    <xf numFmtId="178" fontId="254" fillId="0" borderId="2" xfId="0" applyNumberFormat="1" applyFont="1" applyFill="1" applyBorder="1" applyAlignment="1" applyProtection="1">
      <alignment horizontal="center" vertical="center" wrapText="1"/>
      <protection hidden="1"/>
    </xf>
    <xf numFmtId="178" fontId="254" fillId="0" borderId="60" xfId="0" applyNumberFormat="1" applyFont="1" applyFill="1" applyBorder="1" applyAlignment="1" applyProtection="1">
      <alignment horizontal="center" vertical="center" wrapText="1"/>
      <protection hidden="1"/>
    </xf>
    <xf numFmtId="178" fontId="254" fillId="0" borderId="1" xfId="0" applyNumberFormat="1" applyFont="1" applyFill="1" applyBorder="1" applyAlignment="1" applyProtection="1">
      <alignment horizontal="center" vertical="center" wrapText="1"/>
      <protection hidden="1"/>
    </xf>
    <xf numFmtId="178" fontId="5" fillId="0" borderId="33" xfId="0" applyNumberFormat="1" applyFont="1" applyFill="1" applyBorder="1" applyProtection="1">
      <alignment vertical="center"/>
      <protection hidden="1"/>
    </xf>
    <xf numFmtId="181" fontId="77" fillId="0" borderId="33" xfId="0" applyNumberFormat="1" applyFont="1" applyFill="1" applyBorder="1" applyAlignment="1" applyProtection="1">
      <alignment horizontal="center" vertical="center"/>
      <protection hidden="1"/>
    </xf>
    <xf numFmtId="178" fontId="5" fillId="0" borderId="1" xfId="0" applyNumberFormat="1" applyFont="1" applyFill="1" applyBorder="1" applyProtection="1">
      <alignment vertical="center"/>
      <protection hidden="1"/>
    </xf>
    <xf numFmtId="181" fontId="77" fillId="0" borderId="1" xfId="0" applyNumberFormat="1" applyFont="1" applyFill="1" applyBorder="1" applyAlignment="1" applyProtection="1">
      <alignment horizontal="center" vertical="center"/>
      <protection hidden="1"/>
    </xf>
    <xf numFmtId="178" fontId="5" fillId="0" borderId="3" xfId="0" applyNumberFormat="1" applyFont="1" applyFill="1" applyBorder="1" applyProtection="1">
      <alignment vertical="center"/>
      <protection hidden="1"/>
    </xf>
    <xf numFmtId="178" fontId="5" fillId="0" borderId="4" xfId="0" applyNumberFormat="1" applyFont="1" applyFill="1" applyBorder="1" applyProtection="1">
      <alignment vertical="center"/>
      <protection hidden="1"/>
    </xf>
    <xf numFmtId="178" fontId="77" fillId="0" borderId="3" xfId="0" applyNumberFormat="1" applyFont="1" applyFill="1" applyBorder="1" applyProtection="1">
      <alignment vertical="center"/>
      <protection hidden="1"/>
    </xf>
    <xf numFmtId="43" fontId="28" fillId="0" borderId="0" xfId="3487" applyNumberFormat="1" applyFont="1" applyFill="1"/>
    <xf numFmtId="178" fontId="245" fillId="0" borderId="3" xfId="0" applyNumberFormat="1" applyFont="1" applyFill="1" applyBorder="1" applyAlignment="1" applyProtection="1">
      <alignment horizontal="center" vertical="center"/>
      <protection hidden="1"/>
    </xf>
    <xf numFmtId="178" fontId="245" fillId="0" borderId="4" xfId="0" applyNumberFormat="1" applyFont="1" applyFill="1" applyBorder="1" applyAlignment="1" applyProtection="1">
      <alignment horizontal="center" vertical="center"/>
      <protection hidden="1"/>
    </xf>
    <xf numFmtId="181" fontId="255" fillId="0" borderId="1" xfId="0" applyNumberFormat="1" applyFont="1" applyFill="1" applyBorder="1" applyAlignment="1" applyProtection="1">
      <alignment horizontal="center" vertical="center"/>
      <protection hidden="1"/>
    </xf>
    <xf numFmtId="0" fontId="25" fillId="0" borderId="0" xfId="3487" applyFont="1" applyFill="1"/>
    <xf numFmtId="178" fontId="5" fillId="0" borderId="3" xfId="0" applyNumberFormat="1" applyFont="1" applyFill="1" applyBorder="1" applyProtection="1">
      <alignment vertical="center"/>
      <protection hidden="1"/>
    </xf>
    <xf numFmtId="178" fontId="5" fillId="0" borderId="4" xfId="0" applyNumberFormat="1" applyFont="1" applyFill="1" applyBorder="1" applyProtection="1">
      <alignment vertical="center"/>
      <protection hidden="1"/>
    </xf>
    <xf numFmtId="178" fontId="6" fillId="0" borderId="0" xfId="0" applyNumberFormat="1" applyFont="1" applyFill="1" applyProtection="1">
      <alignment vertical="center"/>
      <protection hidden="1"/>
    </xf>
    <xf numFmtId="0" fontId="127" fillId="0" borderId="0" xfId="3487" applyFont="1" applyFill="1"/>
    <xf numFmtId="43" fontId="24" fillId="0" borderId="0" xfId="1" applyFont="1" applyFill="1">
      <alignment vertical="center"/>
    </xf>
    <xf numFmtId="0" fontId="22" fillId="0" borderId="1" xfId="0" applyFont="1" applyFill="1" applyBorder="1" applyAlignment="1">
      <alignment horizontal="center" vertical="center"/>
    </xf>
    <xf numFmtId="0" fontId="22" fillId="0" borderId="34" xfId="0" applyFont="1" applyFill="1" applyBorder="1" applyAlignment="1">
      <alignment vertical="top"/>
    </xf>
    <xf numFmtId="177" fontId="22" fillId="0" borderId="34" xfId="0" applyNumberFormat="1" applyFont="1" applyFill="1" applyBorder="1" applyAlignment="1">
      <alignment vertical="top"/>
    </xf>
    <xf numFmtId="177" fontId="22" fillId="0" borderId="89" xfId="0" applyNumberFormat="1" applyFont="1" applyFill="1" applyBorder="1" applyAlignment="1">
      <alignment vertical="top"/>
    </xf>
    <xf numFmtId="0" fontId="31" fillId="0" borderId="1" xfId="0" applyFont="1" applyFill="1" applyBorder="1" applyAlignment="1">
      <alignment horizontal="center" vertical="center"/>
    </xf>
    <xf numFmtId="177" fontId="31" fillId="0" borderId="1" xfId="0" applyNumberFormat="1" applyFont="1" applyFill="1" applyBorder="1" applyAlignment="1">
      <alignment horizontal="center" vertical="center" wrapText="1"/>
    </xf>
    <xf numFmtId="43" fontId="281" fillId="0" borderId="1" xfId="0" applyNumberFormat="1" applyFont="1" applyFill="1" applyBorder="1">
      <alignment vertical="center"/>
    </xf>
    <xf numFmtId="57" fontId="281" fillId="0" borderId="1" xfId="1" applyNumberFormat="1" applyFont="1" applyFill="1" applyBorder="1" applyAlignment="1">
      <alignment horizontal="center" vertical="center"/>
    </xf>
    <xf numFmtId="43" fontId="281" fillId="0" borderId="1" xfId="1" applyFont="1" applyFill="1" applyBorder="1">
      <alignment vertical="center"/>
    </xf>
    <xf numFmtId="43" fontId="22" fillId="0" borderId="1" xfId="1" applyFont="1" applyFill="1" applyBorder="1">
      <alignment vertical="center"/>
    </xf>
    <xf numFmtId="184" fontId="22" fillId="0" borderId="1" xfId="1" applyNumberFormat="1" applyFont="1" applyFill="1" applyBorder="1">
      <alignment vertical="center"/>
    </xf>
    <xf numFmtId="43" fontId="281" fillId="0" borderId="0" xfId="0" applyNumberFormat="1" applyFont="1" applyFill="1" applyBorder="1">
      <alignment vertical="center"/>
    </xf>
    <xf numFmtId="43" fontId="281" fillId="0" borderId="0" xfId="0" applyNumberFormat="1" applyFont="1" applyFill="1" applyBorder="1" applyAlignment="1">
      <alignment horizontal="left" vertical="center"/>
    </xf>
    <xf numFmtId="43" fontId="281" fillId="0" borderId="0" xfId="1" applyFont="1" applyFill="1" applyBorder="1">
      <alignment vertical="center"/>
    </xf>
    <xf numFmtId="43" fontId="22" fillId="0" borderId="0" xfId="1" applyFont="1" applyFill="1" applyBorder="1">
      <alignment vertical="center"/>
    </xf>
    <xf numFmtId="184" fontId="22" fillId="0" borderId="0" xfId="1" applyNumberFormat="1" applyFont="1" applyFill="1" applyBorder="1">
      <alignment vertical="center"/>
    </xf>
    <xf numFmtId="43" fontId="22" fillId="0" borderId="0" xfId="0" applyNumberFormat="1" applyFont="1" applyFill="1">
      <alignment vertical="center"/>
    </xf>
    <xf numFmtId="0" fontId="282" fillId="0" borderId="0" xfId="0" applyFont="1" applyFill="1" applyAlignment="1">
      <alignment vertical="top"/>
    </xf>
    <xf numFmtId="0" fontId="22" fillId="0" borderId="0" xfId="0" applyFont="1" applyFill="1" applyAlignment="1">
      <alignment vertical="top"/>
    </xf>
    <xf numFmtId="177" fontId="22" fillId="0" borderId="0" xfId="0" applyNumberFormat="1" applyFont="1" applyFill="1" applyAlignment="1">
      <alignment horizontal="center" vertical="center"/>
    </xf>
    <xf numFmtId="0" fontId="21" fillId="0" borderId="6" xfId="0" applyFont="1" applyFill="1" applyBorder="1" applyAlignment="1">
      <alignment horizontal="center" vertical="center"/>
    </xf>
    <xf numFmtId="0" fontId="21" fillId="0" borderId="6" xfId="0" applyFont="1" applyFill="1" applyBorder="1" applyAlignment="1">
      <alignment horizontal="center" vertical="center" wrapText="1"/>
    </xf>
    <xf numFmtId="177" fontId="21" fillId="0" borderId="91" xfId="0" applyNumberFormat="1" applyFont="1" applyFill="1" applyBorder="1" applyAlignment="1">
      <alignment horizontal="center" vertical="top"/>
    </xf>
    <xf numFmtId="177" fontId="21" fillId="0" borderId="90" xfId="0" applyNumberFormat="1" applyFont="1" applyFill="1" applyBorder="1" applyAlignment="1">
      <alignment horizontal="center" vertical="top"/>
    </xf>
    <xf numFmtId="177" fontId="21" fillId="0" borderId="92" xfId="0" applyNumberFormat="1" applyFont="1" applyFill="1" applyBorder="1" applyAlignment="1">
      <alignment horizontal="center" vertical="top"/>
    </xf>
    <xf numFmtId="0" fontId="267" fillId="0" borderId="1" xfId="13" applyFont="1" applyFill="1" applyBorder="1" applyAlignment="1">
      <alignment horizontal="center" vertical="center" wrapText="1"/>
    </xf>
    <xf numFmtId="0" fontId="21" fillId="0" borderId="33" xfId="0" applyFont="1" applyFill="1" applyBorder="1" applyAlignment="1">
      <alignment horizontal="center" vertical="center"/>
    </xf>
    <xf numFmtId="0" fontId="21" fillId="0" borderId="33" xfId="0" applyFont="1" applyFill="1" applyBorder="1" applyAlignment="1">
      <alignment horizontal="center" vertical="center" wrapText="1"/>
    </xf>
    <xf numFmtId="177" fontId="22" fillId="0" borderId="0" xfId="0" applyNumberFormat="1" applyFont="1" applyFill="1" applyAlignment="1">
      <alignment vertical="center" wrapText="1"/>
    </xf>
    <xf numFmtId="0" fontId="22" fillId="0" borderId="0" xfId="0" applyFont="1" applyFill="1" applyAlignment="1">
      <alignment vertical="center" wrapText="1"/>
    </xf>
    <xf numFmtId="43" fontId="22" fillId="0" borderId="1" xfId="2" applyNumberFormat="1" applyFont="1" applyFill="1" applyBorder="1" applyAlignment="1">
      <alignment vertical="top"/>
    </xf>
    <xf numFmtId="43" fontId="281" fillId="0" borderId="1" xfId="1" applyFont="1" applyFill="1" applyBorder="1" applyAlignment="1">
      <alignment horizontal="center" vertical="center"/>
    </xf>
    <xf numFmtId="43" fontId="22" fillId="0" borderId="1" xfId="2" applyNumberFormat="1" applyFont="1" applyFill="1" applyBorder="1" applyAlignment="1">
      <alignment horizontal="center" vertical="center"/>
    </xf>
    <xf numFmtId="43" fontId="22" fillId="0" borderId="88" xfId="2" applyNumberFormat="1" applyFont="1" applyFill="1" applyBorder="1" applyAlignment="1">
      <alignment horizontal="center" vertical="center"/>
    </xf>
    <xf numFmtId="43" fontId="22" fillId="0" borderId="88" xfId="2" applyNumberFormat="1" applyFont="1" applyFill="1" applyBorder="1" applyAlignment="1">
      <alignment vertical="top"/>
    </xf>
    <xf numFmtId="43" fontId="22" fillId="0" borderId="1" xfId="1" applyFont="1" applyFill="1" applyBorder="1" applyAlignment="1">
      <alignment vertical="top"/>
    </xf>
    <xf numFmtId="307" fontId="281" fillId="0" borderId="1" xfId="1" applyNumberFormat="1"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4" xfId="0" applyFont="1" applyFill="1" applyBorder="1" applyAlignment="1">
      <alignment horizontal="center" vertical="center"/>
    </xf>
    <xf numFmtId="9" fontId="22" fillId="0" borderId="1" xfId="2" applyFont="1" applyFill="1" applyBorder="1" applyAlignment="1">
      <alignment vertical="top"/>
    </xf>
    <xf numFmtId="10" fontId="22" fillId="0" borderId="1" xfId="1" applyNumberFormat="1" applyFont="1" applyFill="1" applyBorder="1" applyAlignment="1">
      <alignment vertical="top"/>
    </xf>
    <xf numFmtId="177" fontId="22" fillId="0" borderId="1" xfId="0" applyNumberFormat="1" applyFont="1" applyFill="1" applyBorder="1" applyAlignment="1">
      <alignment vertical="top"/>
    </xf>
    <xf numFmtId="10" fontId="22" fillId="0" borderId="88" xfId="1" applyNumberFormat="1" applyFont="1" applyFill="1" applyBorder="1" applyAlignment="1">
      <alignment vertical="top"/>
    </xf>
    <xf numFmtId="0" fontId="22" fillId="0" borderId="5" xfId="0" applyFont="1" applyFill="1" applyBorder="1" applyAlignment="1">
      <alignment horizontal="center" vertical="center"/>
    </xf>
    <xf numFmtId="10" fontId="22" fillId="0" borderId="1" xfId="2" applyNumberFormat="1" applyFont="1" applyFill="1" applyBorder="1" applyAlignment="1">
      <alignment vertical="top"/>
    </xf>
    <xf numFmtId="10" fontId="22" fillId="0" borderId="88" xfId="2" applyNumberFormat="1" applyFont="1" applyFill="1" applyBorder="1" applyAlignment="1">
      <alignment vertical="top"/>
    </xf>
    <xf numFmtId="0" fontId="22" fillId="0" borderId="5" xfId="0" applyFont="1" applyFill="1" applyBorder="1" applyAlignment="1">
      <alignment horizontal="center" vertical="top"/>
    </xf>
    <xf numFmtId="0" fontId="22" fillId="0" borderId="4" xfId="0" applyFont="1" applyFill="1" applyBorder="1" applyAlignment="1">
      <alignment horizontal="center" vertical="top"/>
    </xf>
    <xf numFmtId="177" fontId="22" fillId="0" borderId="91" xfId="0" applyNumberFormat="1" applyFont="1" applyFill="1" applyBorder="1" applyAlignment="1">
      <alignment horizontal="center" vertical="top"/>
    </xf>
    <xf numFmtId="177" fontId="22" fillId="0" borderId="90" xfId="0" applyNumberFormat="1" applyFont="1" applyFill="1" applyBorder="1" applyAlignment="1">
      <alignment horizontal="center" vertical="top"/>
    </xf>
    <xf numFmtId="177" fontId="22" fillId="0" borderId="92" xfId="0" applyNumberFormat="1" applyFont="1" applyFill="1" applyBorder="1" applyAlignment="1">
      <alignment horizontal="center" vertical="top"/>
    </xf>
    <xf numFmtId="177" fontId="22" fillId="0" borderId="1" xfId="0" applyNumberFormat="1" applyFont="1" applyFill="1" applyBorder="1" applyAlignment="1">
      <alignment horizontal="center" vertical="top"/>
    </xf>
    <xf numFmtId="177" fontId="22" fillId="0" borderId="1" xfId="0" applyNumberFormat="1" applyFont="1" applyFill="1" applyBorder="1" applyAlignment="1">
      <alignment horizontal="center" vertical="top"/>
    </xf>
    <xf numFmtId="177" fontId="22" fillId="0" borderId="88" xfId="0" applyNumberFormat="1" applyFont="1" applyFill="1" applyBorder="1" applyAlignment="1">
      <alignment horizontal="center" vertical="top"/>
    </xf>
    <xf numFmtId="0" fontId="22" fillId="0" borderId="91" xfId="0" applyFont="1" applyFill="1" applyBorder="1" applyAlignment="1">
      <alignment horizontal="center" vertical="center"/>
    </xf>
    <xf numFmtId="0" fontId="22" fillId="0" borderId="90" xfId="0" applyFont="1" applyFill="1" applyBorder="1" applyAlignment="1">
      <alignment horizontal="center" vertical="center"/>
    </xf>
    <xf numFmtId="0" fontId="22" fillId="0" borderId="92"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3" xfId="0" applyFont="1" applyFill="1" applyBorder="1" applyAlignment="1">
      <alignment horizontal="center" vertical="center" wrapText="1"/>
    </xf>
    <xf numFmtId="177" fontId="22" fillId="0" borderId="6" xfId="0" applyNumberFormat="1" applyFont="1" applyFill="1" applyBorder="1" applyAlignment="1">
      <alignment horizontal="center" vertical="center" wrapText="1"/>
    </xf>
    <xf numFmtId="0" fontId="266" fillId="0" borderId="1" xfId="13" applyFont="1" applyFill="1" applyBorder="1" applyAlignment="1">
      <alignment horizontal="center" vertical="center" wrapText="1"/>
    </xf>
    <xf numFmtId="43" fontId="22" fillId="0" borderId="1" xfId="1" applyFont="1" applyFill="1" applyBorder="1" applyAlignment="1">
      <alignment horizontal="center" vertical="top"/>
    </xf>
    <xf numFmtId="177" fontId="22" fillId="0" borderId="1" xfId="0" applyNumberFormat="1" applyFont="1" applyFill="1" applyBorder="1" applyAlignment="1">
      <alignment horizontal="center" vertical="center"/>
    </xf>
    <xf numFmtId="0" fontId="22" fillId="0" borderId="3" xfId="0" applyFont="1" applyFill="1" applyBorder="1">
      <alignment vertical="center"/>
    </xf>
    <xf numFmtId="0" fontId="22" fillId="0" borderId="0" xfId="0" applyFont="1" applyFill="1" applyAlignment="1">
      <alignment horizontal="center" vertical="center"/>
    </xf>
    <xf numFmtId="10" fontId="22" fillId="0" borderId="0" xfId="1" applyNumberFormat="1" applyFont="1" applyFill="1" applyBorder="1" applyAlignment="1">
      <alignment vertical="top"/>
    </xf>
    <xf numFmtId="10" fontId="22" fillId="0" borderId="0" xfId="2" applyNumberFormat="1" applyFont="1" applyFill="1" applyBorder="1" applyAlignment="1">
      <alignment vertical="top"/>
    </xf>
    <xf numFmtId="43" fontId="22" fillId="0" borderId="0" xfId="1" applyFont="1" applyFill="1" applyBorder="1" applyAlignment="1">
      <alignment vertical="top"/>
    </xf>
    <xf numFmtId="0" fontId="22" fillId="0" borderId="3" xfId="0" applyFont="1" applyFill="1" applyBorder="1" applyAlignment="1">
      <alignment horizontal="center" vertical="top"/>
    </xf>
    <xf numFmtId="177" fontId="22" fillId="0" borderId="88" xfId="0" applyNumberFormat="1" applyFont="1" applyFill="1" applyBorder="1" applyAlignment="1">
      <alignment vertical="top"/>
    </xf>
    <xf numFmtId="177" fontId="22" fillId="0" borderId="3" xfId="0" applyNumberFormat="1" applyFont="1" applyFill="1" applyBorder="1" applyAlignment="1">
      <alignment horizontal="center" vertical="top"/>
    </xf>
    <xf numFmtId="177" fontId="22" fillId="0" borderId="3" xfId="0" applyNumberFormat="1" applyFont="1" applyFill="1" applyBorder="1" applyAlignment="1">
      <alignment horizontal="center" vertical="top"/>
    </xf>
    <xf numFmtId="177" fontId="22" fillId="0" borderId="5" xfId="0" applyNumberFormat="1" applyFont="1" applyFill="1" applyBorder="1" applyAlignment="1">
      <alignment horizontal="center" vertical="top"/>
    </xf>
    <xf numFmtId="177" fontId="22" fillId="0" borderId="90" xfId="0" applyNumberFormat="1" applyFont="1" applyFill="1" applyBorder="1" applyAlignment="1">
      <alignment horizontal="center" vertical="top"/>
    </xf>
    <xf numFmtId="301" fontId="22" fillId="0" borderId="0" xfId="0" applyNumberFormat="1" applyFont="1" applyFill="1" applyAlignment="1">
      <alignment vertical="top"/>
    </xf>
    <xf numFmtId="0" fontId="24" fillId="0" borderId="0" xfId="0" applyFont="1" applyFill="1">
      <alignment vertical="center"/>
    </xf>
    <xf numFmtId="0" fontId="21" fillId="0" borderId="9" xfId="0" applyFont="1" applyFill="1" applyBorder="1" applyAlignment="1">
      <alignment horizontal="center" vertical="center"/>
    </xf>
    <xf numFmtId="0" fontId="21" fillId="0" borderId="28"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29" xfId="0" applyFont="1" applyFill="1" applyBorder="1" applyAlignment="1">
      <alignment horizontal="center" vertical="center"/>
    </xf>
    <xf numFmtId="184" fontId="22" fillId="0" borderId="13" xfId="1" applyNumberFormat="1" applyFont="1" applyFill="1" applyBorder="1" applyAlignment="1">
      <alignment horizontal="center" vertical="center"/>
    </xf>
    <xf numFmtId="184" fontId="22" fillId="0" borderId="13" xfId="0" applyNumberFormat="1" applyFont="1" applyFill="1" applyBorder="1" applyAlignment="1">
      <alignment horizontal="center" vertical="center"/>
    </xf>
    <xf numFmtId="184" fontId="22" fillId="0" borderId="14" xfId="0" applyNumberFormat="1" applyFont="1" applyFill="1" applyBorder="1" applyAlignment="1">
      <alignment horizontal="center" vertical="center"/>
    </xf>
    <xf numFmtId="0" fontId="22" fillId="0" borderId="18" xfId="0" applyFont="1" applyFill="1" applyBorder="1" applyAlignment="1">
      <alignment horizontal="center" vertical="center"/>
    </xf>
    <xf numFmtId="0" fontId="22" fillId="0" borderId="30" xfId="0" applyFont="1" applyFill="1" applyBorder="1" applyAlignment="1">
      <alignment horizontal="center" vertical="center"/>
    </xf>
    <xf numFmtId="184" fontId="22" fillId="0" borderId="19" xfId="0" applyNumberFormat="1" applyFont="1" applyFill="1" applyBorder="1" applyAlignment="1">
      <alignment horizontal="center" vertical="center"/>
    </xf>
    <xf numFmtId="184" fontId="22" fillId="0" borderId="20" xfId="0" applyNumberFormat="1" applyFont="1" applyFill="1" applyBorder="1" applyAlignment="1">
      <alignment horizontal="center" vertical="center"/>
    </xf>
    <xf numFmtId="0" fontId="21" fillId="0" borderId="15" xfId="0" applyFont="1" applyFill="1" applyBorder="1" applyAlignment="1">
      <alignment horizontal="center" vertical="center"/>
    </xf>
    <xf numFmtId="0" fontId="21" fillId="0" borderId="31" xfId="0" applyFont="1" applyFill="1" applyBorder="1" applyAlignment="1">
      <alignment horizontal="center" vertical="center"/>
    </xf>
    <xf numFmtId="184" fontId="21" fillId="0" borderId="16" xfId="0" applyNumberFormat="1" applyFont="1" applyFill="1" applyBorder="1" applyAlignment="1">
      <alignment horizontal="center" vertical="center"/>
    </xf>
    <xf numFmtId="0" fontId="21"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0" xfId="0" applyFont="1" applyFill="1" applyAlignment="1">
      <alignment horizontal="right" vertical="center"/>
    </xf>
    <xf numFmtId="10" fontId="22" fillId="0" borderId="0" xfId="2" applyNumberFormat="1" applyFont="1" applyFill="1">
      <alignment vertical="center"/>
    </xf>
    <xf numFmtId="176" fontId="24" fillId="0" borderId="0" xfId="0" applyNumberFormat="1" applyFont="1" applyFill="1">
      <alignment vertical="center"/>
    </xf>
    <xf numFmtId="178" fontId="22" fillId="0" borderId="1" xfId="0" applyNumberFormat="1" applyFont="1" applyFill="1" applyBorder="1" applyAlignment="1">
      <alignment horizontal="left" vertical="center"/>
    </xf>
    <xf numFmtId="178" fontId="22" fillId="0" borderId="1" xfId="0" applyNumberFormat="1" applyFont="1" applyFill="1" applyBorder="1" applyAlignment="1">
      <alignment vertical="top"/>
    </xf>
    <xf numFmtId="0" fontId="24" fillId="0" borderId="1" xfId="0" applyFont="1" applyFill="1" applyBorder="1" applyAlignment="1">
      <alignment horizontal="center" vertical="center"/>
    </xf>
    <xf numFmtId="178" fontId="24" fillId="0" borderId="0" xfId="0" applyNumberFormat="1" applyFont="1" applyFill="1">
      <alignment vertical="center"/>
    </xf>
    <xf numFmtId="178" fontId="22" fillId="0" borderId="1" xfId="0" applyNumberFormat="1" applyFont="1" applyFill="1" applyBorder="1" applyAlignment="1">
      <alignment horizontal="center" vertical="top"/>
    </xf>
  </cellXfs>
  <cellStyles count="3490">
    <cellStyle name="_x0007_" xfId="17" xr:uid="{7CEFC6A1-2CE4-44AD-B9D3-E08DEF3C13D1}"/>
    <cellStyle name="_x000a_mouse.drv=lm" xfId="18" xr:uid="{1472C59C-F4CD-4A36-BC2F-DFB9C99DD650}"/>
    <cellStyle name="_x000a_network.drv=" xfId="19" xr:uid="{12528933-02F3-43C2-9DBC-B457EC5BE01D}"/>
    <cellStyle name="$" xfId="20" xr:uid="{343DCA46-252D-492E-AAE1-FEB563B3D626}"/>
    <cellStyle name="$." xfId="21" xr:uid="{B5A6F314-914D-4A2C-AA52-D41BFD41F6E4}"/>
    <cellStyle name="$0.0" xfId="22" xr:uid="{DB1ABF5C-9360-463E-9549-B159F92934EE}"/>
    <cellStyle name="%" xfId="23" xr:uid="{9B2B45A2-26F3-4D09-BA39-E344371A10AA}"/>
    <cellStyle name="%." xfId="24" xr:uid="{2977467F-7481-4672-80CC-429E844477DA}"/>
    <cellStyle name="." xfId="25" xr:uid="{E01B5F9D-42E2-484E-B1D2-F03B56E58880}"/>
    <cellStyle name=".0" xfId="26" xr:uid="{6E00B007-3ECD-445E-9A9C-D56CB91E6575}"/>
    <cellStyle name=".0\" xfId="27" xr:uid="{2A0528E4-7655-418C-A4DF-9D304A205990}"/>
    <cellStyle name=".0_1028ERP明细估值(DCF)尽职调查表(金嗓子)" xfId="28" xr:uid="{2FAB6C34-33C7-419C-935B-9BA519716591}"/>
    <cellStyle name=".00" xfId="29" xr:uid="{28DEDD85-475A-4587-AB9D-CBD0C65BED1C}"/>
    <cellStyle name=".000" xfId="30" xr:uid="{B33601A3-9C44-4F01-B2B5-CB892D5692B7}"/>
    <cellStyle name=".1" xfId="31" xr:uid="{C51BB402-6432-4A99-B9C4-3C63621F5D03}"/>
    <cellStyle name=".2" xfId="32" xr:uid="{3BF6AF37-6156-4EA7-AED3-DFF1321E98D9}"/>
    <cellStyle name=".3" xfId="33" xr:uid="{9C0B0B05-68BF-4FA9-A0BA-45031386EE00}"/>
    <cellStyle name="??" xfId="34" xr:uid="{6F318865-8407-4236-925C-1C8193901084}"/>
    <cellStyle name="?? [0.00]_Analysis of Loans" xfId="35" xr:uid="{1B78B9A1-012B-4D8F-A0DA-B66D62B8F16C}"/>
    <cellStyle name="?? [0]" xfId="36" xr:uid="{35668273-43D8-434E-AA01-42AED91021A8}"/>
    <cellStyle name="??&amp;O龡&amp;H?_x0008_??_x0007__x0001__x0001_" xfId="37" xr:uid="{A205B8EF-97DC-401E-A55F-11793BDACBDC}"/>
    <cellStyle name="???? [0.00]_Analysis of Loans" xfId="38" xr:uid="{8FE4000F-D3A6-421E-AC7C-1CCB69FEFAD3}"/>
    <cellStyle name="??-????¨¨ [0.00]_!!!GO" xfId="39" xr:uid="{C7E7075C-D109-4796-A177-C40F7CB71C40}"/>
    <cellStyle name="??-????¨¨_!!!GO]_R" xfId="40" xr:uid="{73134F12-F30C-435D-BBD8-5D201E45799A}"/>
    <cellStyle name="????_Analysis of Loans" xfId="41" xr:uid="{1E281913-9441-429D-8B55-8E0BE5378DC1}"/>
    <cellStyle name="??_????????" xfId="42" xr:uid="{75028DC2-82FB-4E2C-9360-EEE733F51D2C}"/>
    <cellStyle name="?W?_!!!GOo" xfId="43" xr:uid="{01BBE552-EC37-4E03-9967-2B00437FBB72}"/>
    <cellStyle name="?鹎%U龡&amp;H?_x0008__x001c__x001c_?_x0007__x0001__x0001_" xfId="44" xr:uid="{09C5F02D-0CD3-40BB-8F3A-0197D5892909}"/>
    <cellStyle name="?鹎%U龡&amp;H?_x0008__x001c__x001c_?_x0007__x0001__x0001_ 2" xfId="3489" xr:uid="{8D72C33C-877D-43EE-92A5-E1CF0999A1AF}"/>
    <cellStyle name="?痃%S&amp;F?_x0008_?o_x0006__x0007__x0001__x0001_" xfId="45" xr:uid="{6063D6E4-2320-4FAE-A936-A2828B4F7E20}"/>
    <cellStyle name="@_text" xfId="46" xr:uid="{916D383C-7E87-4715-97E4-B5C54A2C3A9F}"/>
    <cellStyle name="@_text_资产评估申报表-收益法-天仪本部-0301（系数）" xfId="47" xr:uid="{1BB6AB1F-9B9C-433E-BC37-43A52ED166F3}"/>
    <cellStyle name="@ET_Style?CF_Style_1" xfId="48" xr:uid="{B71F5436-607B-44FC-824B-D86AD3143659}"/>
    <cellStyle name="_(中企华)审计评估联合申报明细表.V1" xfId="49" xr:uid="{61AA6028-5DFA-4F74-B4A2-1E92E700AFD7}"/>
    <cellStyle name="_01新航本部评估表-516" xfId="50" xr:uid="{27687AAA-DB8C-4E93-9847-2DAB743C7349}"/>
    <cellStyle name="_03徐州发电收益法计算表－07－18－苏城" xfId="51" xr:uid="{99ED5B92-CE4B-4865-83DE-2F4A2B346B4D}"/>
    <cellStyle name="_04天津南玻-收益法表" xfId="52" xr:uid="{B7F209BB-1EAC-42E8-BEB7-23A9BDFADCE5}"/>
    <cellStyle name="_04天津南玻-收益法表 2" xfId="53" xr:uid="{5BB846BD-5B85-468C-B4DB-D5D9C4979443}"/>
    <cellStyle name="_04天津南玻-收益法表 3" xfId="54" xr:uid="{04CDA026-E081-450E-A285-B9AC49592AEB}"/>
    <cellStyle name="_04天津南玻-收益法表 4" xfId="55" xr:uid="{B39DC487-E0AF-4E91-BC08-8F40C3ED55D3}"/>
    <cellStyle name="_04天津南玻-收益法表_Sheet1" xfId="56" xr:uid="{16D71A05-C9B1-4E46-A0D8-CCC59D379AE6}"/>
    <cellStyle name="_060402进出口现金流预测" xfId="57" xr:uid="{B1C02D3F-5611-434E-A2E4-EED046929D9D}"/>
    <cellStyle name="_1024资江收益法明细表" xfId="58" xr:uid="{758D2A13-15E3-4744-92E9-9A1C16533725}"/>
    <cellStyle name="_2006年资产台帐-报审计" xfId="59" xr:uid="{6FFA3E9B-BE40-461F-B63E-DE21324B2232}"/>
    <cellStyle name="_2008年预算收入" xfId="60" xr:uid="{EE7D23C5-14FA-4FAF-A4FE-FFA4AD9AF258}"/>
    <cellStyle name="_331国投曲靖" xfId="61" xr:uid="{8B5AC363-3C9B-4174-9FCD-D0C93C1BCF11}"/>
    <cellStyle name="_647%E9%A" xfId="62" xr:uid="{4A3E6E70-3467-439E-996C-C1FA35C5BA35}"/>
    <cellStyle name="_647项目通知04-净现金流量计算表rd公式修改" xfId="63" xr:uid="{DBDDA4C1-5ABA-41AA-9133-FF4E40084CCA}"/>
    <cellStyle name="_Book1" xfId="64" xr:uid="{3345DCCE-A20B-40ED-8CB3-C8674589440F}"/>
    <cellStyle name="_Book1正龙" xfId="65" xr:uid="{D80150A0-6BB3-47AB-AC69-EE3AAF470663}"/>
    <cellStyle name="_CBRE明细表" xfId="66" xr:uid="{9A5594EA-0596-4B72-92D3-6543AD0E142F}"/>
    <cellStyle name="_CBRE明细表 2" xfId="67" xr:uid="{2AAF3486-12FD-4544-8C6E-7681D6D9AF4D}"/>
    <cellStyle name="_Comma" xfId="68" xr:uid="{0CAEE6A2-F99B-4E98-8900-2D336BA88E47}"/>
    <cellStyle name="_ET_STYLE_NoName_00_" xfId="69" xr:uid="{FFE5A362-8FB1-4ACF-9355-FF00E78FB44E}"/>
    <cellStyle name="_ET_STYLE_NoName_00_ 2" xfId="70" xr:uid="{C0845FB7-E45E-4F46-BBE1-D4DCB5D893EA}"/>
    <cellStyle name="_ET_STYLE_NoName_00__上海公司房产测算" xfId="71" xr:uid="{B7050E7F-A9B2-44D9-A1D9-AF03E38D4E2A}"/>
    <cellStyle name="_KPMG original version" xfId="72" xr:uid="{4762DEBB-8D5B-465C-9BC3-778984870885}"/>
    <cellStyle name="_KPMG original version_(中企华)审计评估联合申报明细表.V1" xfId="73" xr:uid="{44306AAD-375E-4C94-881A-BAC5B510E665}"/>
    <cellStyle name="_KPMG original version_附件1：审计评估联合申报明细表" xfId="74" xr:uid="{65A9A793-072F-4888-A74B-5AFE7EA2B351}"/>
    <cellStyle name="_long term loan - others 300504" xfId="75" xr:uid="{DBF67B28-3BBB-4158-8EF7-CD5741658C8A}"/>
    <cellStyle name="_long term loan - others 300504_(中企华)审计评估联合申报明细表.V1" xfId="76" xr:uid="{00ACDCFE-1217-4585-A781-1AC018EC33A8}"/>
    <cellStyle name="_long term loan - others 300504_KPMG original version" xfId="77" xr:uid="{77062016-2CF2-4BBB-8136-22E325B13629}"/>
    <cellStyle name="_long term loan - others 300504_KPMG original version_(中企华)审计评估联合申报明细表.V1" xfId="78" xr:uid="{D09C6A07-57B7-49CD-A06A-496A2C68A11D}"/>
    <cellStyle name="_long term loan - others 300504_KPMG original version_附件1：审计评估联合申报明细表" xfId="79" xr:uid="{D4F1E591-31F2-4148-B643-57085B0E2121}"/>
    <cellStyle name="_long term loan - others 300504_Shenhua PBC package 050530" xfId="80" xr:uid="{EA5CA2A2-CF6D-4C5C-927A-8172CC0BA50B}"/>
    <cellStyle name="_long term loan - others 300504_Shenhua PBC package 050530_(中企华)审计评估联合申报明细表.V1" xfId="81" xr:uid="{9865BB51-8EA2-4C8F-8D78-6C082A8716F4}"/>
    <cellStyle name="_long term loan - others 300504_Shenhua PBC package 050530_附件1：审计评估联合申报明细表" xfId="82" xr:uid="{BEA8EB3B-7FE5-44B4-BB0E-E5F0BD4465A8}"/>
    <cellStyle name="_long term loan - others 300504_附件1：审计评估联合申报明细表" xfId="83" xr:uid="{C98BD080-D1D9-4D6D-99CE-3F4BBCCED724}"/>
    <cellStyle name="_long term loan - others 300504_审计调查表.V3" xfId="84" xr:uid="{C02765D7-EE56-4A32-9A3A-14008F4C18EF}"/>
    <cellStyle name="_Part III.200406.Loan and Liabilities details.(Site Name)" xfId="85" xr:uid="{4E0F9DCF-F9A4-4577-8BA2-1E490F01C2C3}"/>
    <cellStyle name="_Part III.200406.Loan and Liabilities details.(Site Name)_(中企华)审计评估联合申报明细表.V1" xfId="86" xr:uid="{78D26385-AC46-4232-A634-C70B394CCDE3}"/>
    <cellStyle name="_Part III.200406.Loan and Liabilities details.(Site Name)_KPMG original version" xfId="87" xr:uid="{CCEC9027-EBE3-41D6-B6A2-7DC5C062A472}"/>
    <cellStyle name="_Part III.200406.Loan and Liabilities details.(Site Name)_KPMG original version_(中企华)审计评估联合申报明细表.V1" xfId="88" xr:uid="{D1D44223-DF8D-4C27-9D03-DC671A0D9C12}"/>
    <cellStyle name="_Part III.200406.Loan and Liabilities details.(Site Name)_KPMG original version_附件1：审计评估联合申报明细表" xfId="89" xr:uid="{80B7AA95-962C-4349-8C6B-09FCF25D187A}"/>
    <cellStyle name="_Part III.200406.Loan and Liabilities details.(Site Name)_Shenhua PBC package 050530" xfId="90" xr:uid="{3E7A56F1-74D4-40AB-A95F-2B05D351BF31}"/>
    <cellStyle name="_Part III.200406.Loan and Liabilities details.(Site Name)_Shenhua PBC package 050530_(中企华)审计评估联合申报明细表.V1" xfId="91" xr:uid="{7C43BD8F-F134-4BB7-AF99-4CC013DC6DED}"/>
    <cellStyle name="_Part III.200406.Loan and Liabilities details.(Site Name)_Shenhua PBC package 050530_附件1：审计评估联合申报明细表" xfId="92" xr:uid="{674833A1-F012-49B0-A3A6-6DC3C4C0D7AB}"/>
    <cellStyle name="_Part III.200406.Loan and Liabilities details.(Site Name)_附件1：审计评估联合申报明细表" xfId="93" xr:uid="{9E8882D6-D1B4-48BF-B0A2-6CE33F429888}"/>
    <cellStyle name="_Part III.200406.Loan and Liabilities details.(Site Name)_审计调查表.V3" xfId="94" xr:uid="{D4FAAA7C-1A8D-405F-8DBE-5A011B654E76}"/>
    <cellStyle name="_PBC attached schedules 2004" xfId="95" xr:uid="{7DFC77DE-F83C-492B-87BB-AC732489D1BB}"/>
    <cellStyle name="_Shenhua PBC package 050530" xfId="96" xr:uid="{BA88EC48-CFB3-4321-ADB2-C837163BB365}"/>
    <cellStyle name="_Shenhua PBC package 050530_(中企华)审计评估联合申报明细表.V1" xfId="97" xr:uid="{7DEF1053-683B-4426-A2AD-A75688EE5D30}"/>
    <cellStyle name="_Shenhua PBC package 050530_附件1：审计评估联合申报明细表" xfId="98" xr:uid="{3502B173-F861-442D-A663-55CC8CC17978}"/>
    <cellStyle name="_Xanadu_Projection_final draft_100817" xfId="99" xr:uid="{91CAB0A8-2E5B-4A2E-A2A1-01E1FAB6EA53}"/>
    <cellStyle name="_ZJYE9802" xfId="100" xr:uid="{B9C350D4-24C0-408B-A095-BA62C28CE551}"/>
    <cellStyle name="_报表-模拟" xfId="101" xr:uid="{D1FB6C93-F9E1-4738-8652-714E119D819D}"/>
    <cellStyle name="_北仑土地汇总" xfId="102" xr:uid="{E0EAFAA5-A173-4617-968E-978B5E933276}"/>
    <cellStyle name="_北仑土地汇总_3-收益法评估表" xfId="103" xr:uid="{1ED4B6CB-1195-48F1-98A7-2E2F094B28E0}"/>
    <cellStyle name="_北仑土地汇总_Sheet1" xfId="104" xr:uid="{6DD8C634-E489-4DCE-A780-72BE7C517FCC}"/>
    <cellStyle name="_北仑土地汇总_报送审查版03版_行业收益法申报表(中英文)" xfId="105" xr:uid="{14466DA5-5E59-433C-97EE-AFF2D238B4A7}"/>
    <cellStyle name="_北仑土地汇总_财务费用" xfId="106" xr:uid="{F2673F1C-0B19-4372-B669-553B1261C908}"/>
    <cellStyle name="_北仑土地汇总_电力企业收益法表格双辽发电厂" xfId="107" xr:uid="{84B9864F-B542-4F43-B951-FF64B63F4E4B}"/>
    <cellStyle name="_北仑土地汇总_发电量" xfId="108" xr:uid="{CCBE5FFE-20F7-4A4A-A6A1-69FFD42EC8AB}"/>
    <cellStyle name="_北仑土地汇总_服务行业收益法模型表(中英文)" xfId="109" xr:uid="{448B3405-B0F2-410D-971C-993CD14A51A7}"/>
    <cellStyle name="_北仑土地汇总_服务行业收益法模型表(中英文)w" xfId="110" xr:uid="{F2AAFC84-F548-4444-B2B0-16096A05F2EC}"/>
    <cellStyle name="_北仑土地汇总_负息负债明细表" xfId="111" xr:uid="{0C692E57-CD54-4B9F-8C95-A5A68A04DB17}"/>
    <cellStyle name="_北仑土地汇总_管理费G&amp;A" xfId="112" xr:uid="{2F32B90C-2F9A-412E-859C-0751BEF8C4D9}"/>
    <cellStyle name="_北仑土地汇总_环保费" xfId="113" xr:uid="{E2F8E060-6658-4E6E-9218-34EDDE9AC24F}"/>
    <cellStyle name="_北仑土地汇总_人工费" xfId="114" xr:uid="{888B2A0B-4940-49FF-B76E-E66834ECA361}"/>
    <cellStyle name="_北仑土地汇总_收益法计算表" xfId="115" xr:uid="{68994C90-69CB-4C83-8AFD-0F7533FFE06F}"/>
    <cellStyle name="_北仑土地汇总_双鸭山收益法" xfId="116" xr:uid="{ACE517D1-6613-4B83-8D60-8D55FFB5525E}"/>
    <cellStyle name="_北仑土地汇总_销售收入" xfId="117" xr:uid="{A79035B4-7FE8-44B7-AAFE-92E26CEA3F47}"/>
    <cellStyle name="_北仑土地汇总_永川火电收益法表20090228" xfId="118" xr:uid="{E309D783-BF5F-4ED0-93F0-A5C0917058A7}"/>
    <cellStyle name="_北仑土地汇总_折现率-数值版-航空" xfId="119" xr:uid="{A668E425-E93D-485E-A26E-7855BFCA32BE}"/>
    <cellStyle name="_北仑土地汇总_中山南朗收益法评估表格（人工定稿）" xfId="120" xr:uid="{3D5985EB-03F9-478D-8AA5-02A979B2A362}"/>
    <cellStyle name="_北仑土地汇总_主营业务成本" xfId="121" xr:uid="{AC68670F-A97A-49F4-87E8-6C21898310FA}"/>
    <cellStyle name="_北仑土地汇总_资本性支出" xfId="122" xr:uid="{A2C87EC7-DFD8-4C6C-B864-E374C596B58B}"/>
    <cellStyle name="_第二部分  资产评估申报表（收益法）" xfId="123" xr:uid="{C144F726-EC4F-49C3-897D-4A330DC82009}"/>
    <cellStyle name="_第二部分  资产评估申报表（收益法） 2" xfId="124" xr:uid="{954D3381-861A-485E-9992-89901058BD01}"/>
    <cellStyle name="_第二部分  资产评估申报表（收益法） 3" xfId="125" xr:uid="{35028AAE-18EB-4FBF-AC73-2FAECAF5652D}"/>
    <cellStyle name="_第二部分  资产评估申报表（收益法）_附件5：企业整体评估收益法申报表 (version 1)" xfId="126" xr:uid="{A4515FA6-E534-4BFD-8243-B34B46041BF9}"/>
    <cellStyle name="_第二部分  资产评估申报表（收益法）_附件5：企业整体评估收益法申报表 (version 1) 2" xfId="127" xr:uid="{5E97D4D8-B1A1-4529-B2E8-4C92348E0582}"/>
    <cellStyle name="_第二部分  资产评估申报表（收益法）_附件5：企业整体评估收益法申报表 (version 1) 3" xfId="128" xr:uid="{75B375FE-288A-4E3A-A465-054AD3A11044}"/>
    <cellStyle name="_第二部分  资产评估申报表（收益法）_附件5：企业整体评估收益法申报表 (version 1)_采埃孚整体评估收益法-11" xfId="129" xr:uid="{322CF168-9A18-4F19-BF00-1AE1D2064E19}"/>
    <cellStyle name="_第二部分  资产评估申报表（收益法）_附件5：企业整体评估收益法申报表 (version 1)_采埃孚整体评估收益法-11 2" xfId="130" xr:uid="{A9567939-23B8-4EBF-AE41-48CEF35E4C71}"/>
    <cellStyle name="_第二部分  资产评估申报表（收益法）_附件5：企业整体评估收益法申报表 (version 1)_采埃孚整体评估收益法-11 3" xfId="131" xr:uid="{C0465479-518C-40DE-9232-D6BA02A995D5}"/>
    <cellStyle name="_第二部分  资产评估申报表（收益法）_附件5：企业整体评估收益法申报表 (version 1)_宁国收入明细" xfId="132" xr:uid="{B086F845-5ADE-4870-A045-8AFB98143ECD}"/>
    <cellStyle name="_第二部分  资产评估申报表（收益法）_附件5：企业整体评估收益法申报表 (version 1)_宁国收入明细 2" xfId="133" xr:uid="{259AFD30-86EB-42B2-B28E-10B225DB9ED7}"/>
    <cellStyle name="_第二部分  资产评估申报表（收益法）_附件5：企业整体评估收益法申报表 (version 1)_宁国收入明细 3" xfId="134" xr:uid="{D316B4DB-B70C-4837-AF16-43C0D7FC9779}"/>
    <cellStyle name="_电力收益法申报表" xfId="135" xr:uid="{D22F76EF-C56D-45EE-A8B3-1011F552B496}"/>
    <cellStyle name="_东津水电收益法表1208" xfId="136" xr:uid="{A205FAEE-881A-430B-A20B-E35A910BEB90}"/>
    <cellStyle name="_东兴热电评估汇总表" xfId="137" xr:uid="{F308A664-D533-4708-8CFE-55092531EA72}"/>
    <cellStyle name="_东兴热电评估汇总表_3-收益法评估表" xfId="138" xr:uid="{7835437C-B035-4D7F-A200-334E965806FC}"/>
    <cellStyle name="_东兴热电评估汇总表_Sheet1" xfId="139" xr:uid="{08DA23C0-8665-4FCF-A1C8-CBFD5BDFB9D6}"/>
    <cellStyle name="_东兴热电评估汇总表_报送审查版03版_行业收益法申报表(中英文)" xfId="140" xr:uid="{B1041FDB-C380-4E1A-A727-C3504D405E7B}"/>
    <cellStyle name="_东兴热电评估汇总表_财务费用" xfId="141" xr:uid="{B7100583-C7AA-4B84-8DBB-8300A8569E38}"/>
    <cellStyle name="_东兴热电评估汇总表_电力企业收益法表格双辽发电厂" xfId="142" xr:uid="{345F2A56-F951-4E6E-84BB-8B55C97BDB62}"/>
    <cellStyle name="_东兴热电评估汇总表_发电量" xfId="143" xr:uid="{40BBA841-5A0B-43B5-9553-4A872418B282}"/>
    <cellStyle name="_东兴热电评估汇总表_服务行业收益法模型表(中英文)" xfId="144" xr:uid="{0BDCE1A0-B6DA-415E-B9E1-67850FD626AF}"/>
    <cellStyle name="_东兴热电评估汇总表_服务行业收益法模型表(中英文)w" xfId="145" xr:uid="{7AD5E46E-62C4-42B0-B5A9-A642D674F47F}"/>
    <cellStyle name="_东兴热电评估汇总表_负息负债明细表" xfId="146" xr:uid="{91B3D3FA-0D05-4242-8AF4-EABABCB54E15}"/>
    <cellStyle name="_东兴热电评估汇总表_管理费G&amp;A" xfId="147" xr:uid="{836C6F61-5E86-4BF8-B1FF-2A8470DC86D7}"/>
    <cellStyle name="_东兴热电评估汇总表_环保费" xfId="148" xr:uid="{0A0278BE-2E19-4733-8630-E569C98C43F8}"/>
    <cellStyle name="_东兴热电评估汇总表_人工费" xfId="149" xr:uid="{03E8C100-ED3C-4432-93C5-731A170D1899}"/>
    <cellStyle name="_东兴热电评估汇总表_收益法计算表" xfId="150" xr:uid="{EEF2175B-C0CC-4C9D-A270-297F555F454A}"/>
    <cellStyle name="_东兴热电评估汇总表_双鸭山收益法" xfId="151" xr:uid="{7FA58038-901F-4DA8-A926-5C0FCFAD22B8}"/>
    <cellStyle name="_东兴热电评估汇总表_销售收入" xfId="152" xr:uid="{4842AFF7-9753-4393-9695-73452ECE0FE3}"/>
    <cellStyle name="_东兴热电评估汇总表_永川火电收益法表20090228" xfId="153" xr:uid="{A6F7CD9A-F96B-468F-A213-717D77E633DE}"/>
    <cellStyle name="_东兴热电评估汇总表_折现率-数值版-航空" xfId="154" xr:uid="{B091AB3C-0D0D-47D5-81DC-6F4156D5F60D}"/>
    <cellStyle name="_东兴热电评估汇总表_中山南朗收益法评估表格（人工定稿）" xfId="155" xr:uid="{84F798E8-06A9-432B-B53D-FCD4A1D32B74}"/>
    <cellStyle name="_东兴热电评估汇总表_主营业务成本" xfId="156" xr:uid="{F7947D1D-1B22-4E2E-9426-B4D1E4BD8B6D}"/>
    <cellStyle name="_东兴热电评估汇总表_资本性支出" xfId="157" xr:uid="{6487443F-4E7F-434F-86A2-E3468DED4990}"/>
    <cellStyle name="_房屋建筑评估申报表" xfId="158" xr:uid="{834C0998-042F-4B54-A14F-C97BB2554641}"/>
    <cellStyle name="_非电力业务收益法申报表" xfId="159" xr:uid="{162C0CE1-8336-4FF8-9176-D49A0361AFCD}"/>
    <cellStyle name="_付息债务价值071205" xfId="160" xr:uid="{C289160E-1544-433C-A5B2-84CAABDEC0C4}"/>
    <cellStyle name="_附件1：审计评估联合申报明细表" xfId="161" xr:uid="{0C7A7D61-972B-4318-82F2-679FFBEA8993}"/>
    <cellStyle name="_附件3：收益法申报表（煤炭行业）" xfId="162" xr:uid="{3C7C893F-0947-4EB8-A07F-71DB0104990D}"/>
    <cellStyle name="_附件3：资产基础法各类资产清查评估明细表" xfId="163" xr:uid="{AED51E05-EB70-4EF3-8375-76DC4F86F88E}"/>
    <cellStyle name="_附件5：企业整体评估收益法申报表" xfId="164" xr:uid="{C9F90335-3660-4D41-818C-A9FED87FC523}"/>
    <cellStyle name="_复件 天膜科技专利测算表" xfId="165" xr:uid="{CDF14F1C-8761-4C3E-9CB5-4151A0029AB9}"/>
    <cellStyle name="_副本深南玻价值估计070319下午(深南玻收益率只考虑长期债务)" xfId="166" xr:uid="{03F36550-9A49-4638-A1AF-29944AA2BCD5}"/>
    <cellStyle name="_估值(DCF)尽职调查预测表(收益法)xin7.23" xfId="167" xr:uid="{C46F4660-DEEA-45EE-B814-D05177A95FC1}"/>
    <cellStyle name="_估值(DCF)尽职调查预测表(收益法)xin7.23 2" xfId="168" xr:uid="{2AB8171A-D343-42D8-8F89-E400A79854DE}"/>
    <cellStyle name="_估值(DCF)尽职调查预测表(收益法)xin7.23 3" xfId="169" xr:uid="{674F476C-AF45-4724-BE69-D368F8E35E86}"/>
    <cellStyle name="_估值(DCF)尽职调查预测表(收益法)xin7.23_附件5：企业整体评估收益法申报表 (version 1)" xfId="170" xr:uid="{C9B0C4B7-1D89-4EDA-BEF4-ABA02A4DEAA6}"/>
    <cellStyle name="_估值(DCF)尽职调查预测表(收益法)xin7.23_附件5：企业整体评估收益法申报表 (version 1) 2" xfId="171" xr:uid="{EF525894-57BB-43C1-8485-587CDB7C086F}"/>
    <cellStyle name="_估值(DCF)尽职调查预测表(收益法)xin7.23_附件5：企业整体评估收益法申报表 (version 1) 3" xfId="172" xr:uid="{252C6479-7860-44E5-9D9E-140926DFD571}"/>
    <cellStyle name="_估值(DCF)尽职调查预测表(收益法)xin7.23_附件5：企业整体评估收益法申报表 (version 1)_采埃孚整体评估收益法-11" xfId="173" xr:uid="{03921219-F810-4306-9B97-2FAD0CE28145}"/>
    <cellStyle name="_估值(DCF)尽职调查预测表(收益法)xin7.23_附件5：企业整体评估收益法申报表 (version 1)_采埃孚整体评估收益法-11 2" xfId="174" xr:uid="{A57EE2BB-E745-4693-8B4D-DCFC3884C53A}"/>
    <cellStyle name="_估值(DCF)尽职调查预测表(收益法)xin7.23_附件5：企业整体评估收益法申报表 (version 1)_采埃孚整体评估收益法-11 3" xfId="175" xr:uid="{6DC3F4D0-1169-4BC1-877E-CF6FC0AB2819}"/>
    <cellStyle name="_估值(DCF)尽职调查预测表(收益法)xin7.23_附件5：企业整体评估收益法申报表 (version 1)_宁国收入明细" xfId="176" xr:uid="{B10B5E97-3521-4A08-B3BD-46418209761D}"/>
    <cellStyle name="_估值(DCF)尽职调查预测表(收益法)xin7.23_附件5：企业整体评估收益法申报表 (version 1)_宁国收入明细 2" xfId="177" xr:uid="{FA119449-3620-45BC-B17D-98225ECD87AF}"/>
    <cellStyle name="_估值(DCF)尽职调查预测表(收益法)xin7.23_附件5：企业整体评估收益法申报表 (version 1)_宁国收入明细 3" xfId="178" xr:uid="{0C69403A-28C6-4BA1-B45B-0FE92132A05C}"/>
    <cellStyle name="_估值(DCF)尽职调查预测表(收益法)xin7.23_华豫920项目计算表9-18" xfId="179" xr:uid="{860D3376-6AAC-4700-817F-4C44C7E6B08F}"/>
    <cellStyle name="_估值(DCF)尽职调查预测表(收益法)xin7.23_华豫920项目计算表9-5" xfId="180" xr:uid="{BC465F3E-E9C4-4BEC-AB5B-1F1015E76BE0}"/>
    <cellStyle name="_估值(DCF)尽职调查预测表(收益法)xin7.23_华豫920项目计算表9-6" xfId="181" xr:uid="{103A128D-7E8C-40DB-992E-63CFEF3D468F}"/>
    <cellStyle name="_估值(DCF)尽职调查预测表(收益法)xin7.23_五凌电力现金流计算表（收益法双方案）20060827" xfId="182" xr:uid="{8976404B-591D-425D-BE4E-C6A4BC653379}"/>
    <cellStyle name="_固定资产明细" xfId="183" xr:uid="{756629BA-8259-4573-96D9-06A4CF041ED7}"/>
    <cellStyle name="_海航集团--航空公司评估表格(填表版）1" xfId="184" xr:uid="{BAC47DD4-A30D-45C7-AE0A-8781EE7ECED9}"/>
    <cellStyle name="_合并（武汉双鹤）" xfId="185" xr:uid="{EBAFEFCD-B298-4B2B-BA81-613E49329426}"/>
    <cellStyle name="_火电收益法申报表" xfId="186" xr:uid="{739C350B-A754-47E0-B9F7-74254AF205C4}"/>
    <cellStyle name="_减值准备表" xfId="187" xr:uid="{60812056-AEB3-4E31-BEB2-C2E06859F039}"/>
    <cellStyle name="_碱厂盈利预测" xfId="188" xr:uid="{6060D057-765F-4AAB-ADB6-71AFDE043796}"/>
    <cellStyle name="_评估申报表--老版－审计0000" xfId="189" xr:uid="{1F471109-CF27-4C2B-A798-C039F8CBD869}"/>
    <cellStyle name="_评估申报表--老版－审计0000_3-收益法评估表" xfId="190" xr:uid="{ED351DBF-687F-4515-8FD1-6DF030BF962B}"/>
    <cellStyle name="_评估申报表--老版－审计0000_Book1" xfId="191" xr:uid="{CBE1326B-FF44-409D-A5A6-3E7471206A77}"/>
    <cellStyle name="_评估申报表--老版－审计0000_Sheet1" xfId="192" xr:uid="{3406928E-C440-4671-AD5E-0C255F812600}"/>
    <cellStyle name="_评估申报表--老版－审计0000_报送审查版03版_行业收益法申报表(中英文)" xfId="193" xr:uid="{2C0A4DEE-D464-4859-B0F7-67C06123C45C}"/>
    <cellStyle name="_评估申报表--老版－审计0000_财务费用" xfId="194" xr:uid="{0518296E-1A8A-4266-A10F-7C7E7DC9EB1C}"/>
    <cellStyle name="_评估申报表--老版－审计0000_常州东芝收益法模型表-Toshiba折现率" xfId="195" xr:uid="{08A3599D-F5DF-4B40-B752-F3FA0DBB1CBE}"/>
    <cellStyle name="_评估申报表--老版－审计0000_电力企业收益法表格双辽发电厂" xfId="196" xr:uid="{B337AE9A-41BD-48FF-A7A5-67F652D821A9}"/>
    <cellStyle name="_评估申报表--老版－审计0000_发电量" xfId="197" xr:uid="{65005E39-7F02-4005-9D5D-820AC9C698F1}"/>
    <cellStyle name="_评估申报表--老版－审计0000_服务行业收益法模型表(中英文)" xfId="198" xr:uid="{6498857D-5B83-4D60-AFC6-1C53B7AA2C3D}"/>
    <cellStyle name="_评估申报表--老版－审计0000_服务行业收益法模型表(中英文)w" xfId="199" xr:uid="{041DD5E0-E123-422B-99B2-347581449080}"/>
    <cellStyle name="_评估申报表--老版－审计0000_负息负债明细表" xfId="200" xr:uid="{EFBD9CDD-4052-4827-A7A1-5FC4FB06D37D}"/>
    <cellStyle name="_评估申报表--老版－审计0000_副本新华收益法申报表-制造业-复杂" xfId="201" xr:uid="{AE82560D-8E2A-489D-8443-218489D69399}"/>
    <cellStyle name="_评估申报表--老版－审计0000_管理费G&amp;A" xfId="202" xr:uid="{BD7968A9-B968-4838-9E89-FC77A68DF208}"/>
    <cellStyle name="_评估申报表--老版－审计0000_管理费用预测表" xfId="203" xr:uid="{9C378F45-6FB0-4D43-8C61-950E80F4D667}"/>
    <cellStyle name="_评估申报表--老版－审计0000_环保费" xfId="204" xr:uid="{3FF47B88-63C0-4339-A401-0F1577D58E36}"/>
    <cellStyle name="_评估申报表--老版－审计0000_经营性企业收益法模型表" xfId="205" xr:uid="{7AE32830-246A-4541-A626-377ECE7C17F9}"/>
    <cellStyle name="_评估申报表--老版－审计0000_净现金流预测" xfId="206" xr:uid="{D6DF5EDD-4378-4031-9190-2D5C6B4DCD06}"/>
    <cellStyle name="_评估申报表--老版－审计0000_净现金流预测_Sheet1" xfId="207" xr:uid="{4ABB02EB-ECE2-47EB-95A8-98F41E116895}"/>
    <cellStyle name="_评估申报表--老版－审计0000_净现金流预测_财务费用" xfId="208" xr:uid="{DCB24A37-84EC-43AA-B566-032724E3E8FA}"/>
    <cellStyle name="_评估申报表--老版－审计0000_净现金流预测_电力企业收益法表格双辽发电厂" xfId="209" xr:uid="{C9379000-DDA1-4657-B515-C23A4A6914F0}"/>
    <cellStyle name="_评估申报表--老版－审计0000_净现金流预测_发电量" xfId="210" xr:uid="{790C9B19-A582-455C-96AE-C9FF236E4184}"/>
    <cellStyle name="_评估申报表--老版－审计0000_净现金流预测_负息负债明细表" xfId="211" xr:uid="{F9305232-A56D-4E4F-BDF3-F857BEC5D982}"/>
    <cellStyle name="_评估申报表--老版－审计0000_净现金流预测_环保费" xfId="212" xr:uid="{641CEC2B-16C4-4773-89AF-5D4CF7BD6AB0}"/>
    <cellStyle name="_评估申报表--老版－审计0000_净现金流预测_人工费" xfId="213" xr:uid="{9A0F18BD-8816-4393-AAF9-4F4EB47EF580}"/>
    <cellStyle name="_评估申报表--老版－审计0000_净现金流预测_双鸭山收益法" xfId="214" xr:uid="{EFA07454-378B-413C-8010-7B8EEC42263E}"/>
    <cellStyle name="_评估申报表--老版－审计0000_净现金流预测_销售收入" xfId="215" xr:uid="{68DABC22-CC3E-4005-869F-D261679FF84B}"/>
    <cellStyle name="_评估申报表--老版－审计0000_净现金流预测_永川火电收益法表20090228" xfId="216" xr:uid="{D268D90E-211C-4E5B-B8FF-81434DA12150}"/>
    <cellStyle name="_评估申报表--老版－审计0000_净现金流预测_中山南朗收益法评估表格（人工定稿）" xfId="217" xr:uid="{478C2625-0B7F-462B-8935-2B707358E923}"/>
    <cellStyle name="_评估申报表--老版－审计0000_净现金流预测_主营业务成本" xfId="218" xr:uid="{7B477508-FC5B-4E92-AB9F-12EE0ACE30E9}"/>
    <cellStyle name="_评估申报表--老版－审计0000_净现金流预测_资本性支出" xfId="219" xr:uid="{7BE7D018-8CC5-438F-80C6-7DB0D6E7C2D1}"/>
    <cellStyle name="_评估申报表--老版－审计0000_权益法－研发费用" xfId="220" xr:uid="{14F9AC11-2C4C-4F10-A5EF-83084FB3E2AE}"/>
    <cellStyle name="_评估申报表--老版－审计0000_人工费" xfId="221" xr:uid="{E06F82ED-FC3B-45B8-B668-B088A664693B}"/>
    <cellStyle name="_评估申报表--老版－审计0000_人工费用" xfId="222" xr:uid="{049162BF-1BF5-4859-BCFF-5BF92851BE1E}"/>
    <cellStyle name="_评估申报表--老版－审计0000_人工费用表" xfId="223" xr:uid="{B0FD4414-E356-450B-A683-EB551AAC7384}"/>
    <cellStyle name="_评估申报表--老版－审计0000_收益法计算表" xfId="224" xr:uid="{96864503-6779-4118-A5D3-26BE99750F80}"/>
    <cellStyle name="_评估申报表--老版－审计0000_收益法明细表20100506-李雪飞" xfId="225" xr:uid="{06F76D60-6C1A-47FF-A1B5-6ACA09EA261B}"/>
    <cellStyle name="_评估申报表--老版－审计0000_收益法模型表" xfId="226" xr:uid="{69C70CC9-DAA9-4598-8D91-715B79398D10}"/>
    <cellStyle name="_评估申报表--老版－审计0000_收益法模型表1" xfId="227" xr:uid="{58FE2B90-5144-4977-ACA2-4D5E64261089}"/>
    <cellStyle name="_评估申报表--老版－审计0000_收益法模型表-开发公司-修改" xfId="228" xr:uid="{F788A9CB-9C9F-4EF7-83F6-B58B384884CB}"/>
    <cellStyle name="_评估申报表--老版－审计0000_收益法模型表-青铜峡铝业0911" xfId="229" xr:uid="{8B206F11-D5B6-4714-BE1D-2DF5ED15B0FD}"/>
    <cellStyle name="_评估申报表--老版－审计0000_收益法评估申报表(武汉燃料)2010-4-25" xfId="230" xr:uid="{C9A04720-2C03-4603-841B-8892B958867A}"/>
    <cellStyle name="_评估申报表--老版－审计0000_收益法评估申报表(武汉燃料)2010-4-26" xfId="231" xr:uid="{34469BDF-C255-47EF-8DAA-33B2C8FBB72F}"/>
    <cellStyle name="_评估申报表--老版－审计0000_收益法折现率模型" xfId="232" xr:uid="{E8E1F475-0B6B-4550-9010-D21C428F2899}"/>
    <cellStyle name="_评估申报表--老版－审计0000_收益预测表" xfId="233" xr:uid="{F1E49C81-6B29-4062-8E28-9925206966D2}"/>
    <cellStyle name="_评估申报表--老版－审计0000_收益预测表_Sheet1" xfId="234" xr:uid="{1FDF9792-980B-4187-904A-439B06038E60}"/>
    <cellStyle name="_评估申报表--老版－审计0000_收益预测表_财务费用" xfId="235" xr:uid="{08D2FF01-3494-4022-815E-354C4171F6EE}"/>
    <cellStyle name="_评估申报表--老版－审计0000_收益预测表_电力企业收益法表格双辽发电厂" xfId="236" xr:uid="{8790F42F-C815-4889-93CC-F58C0DBAE4FD}"/>
    <cellStyle name="_评估申报表--老版－审计0000_收益预测表_发电量" xfId="237" xr:uid="{F19CA686-BD2A-4A14-BEFA-A551CB4193A5}"/>
    <cellStyle name="_评估申报表--老版－审计0000_收益预测表_负息负债明细表" xfId="238" xr:uid="{BF1FBCF0-8111-4F3D-9D82-CE110F22B66E}"/>
    <cellStyle name="_评估申报表--老版－审计0000_收益预测表_环保费" xfId="239" xr:uid="{565DAFA9-C560-41FD-AB7E-4D73DBD4A93C}"/>
    <cellStyle name="_评估申报表--老版－审计0000_收益预测表_人工费" xfId="240" xr:uid="{2560698D-21D6-4DFB-9794-00134092A56D}"/>
    <cellStyle name="_评估申报表--老版－审计0000_收益预测表_双鸭山收益法" xfId="241" xr:uid="{4631CE22-84EB-4CB0-ABE5-CCB70A030FDC}"/>
    <cellStyle name="_评估申报表--老版－审计0000_收益预测表_销售收入" xfId="242" xr:uid="{C0A0FAE4-DA0F-4C28-B6D3-CED6E620DAB2}"/>
    <cellStyle name="_评估申报表--老版－审计0000_收益预测表_永川火电收益法表20090228" xfId="243" xr:uid="{9A6F59E0-9D30-47C6-9190-4FD227D1B8AC}"/>
    <cellStyle name="_评估申报表--老版－审计0000_收益预测表_中山南朗收益法评估表格（人工定稿）" xfId="244" xr:uid="{6C5426A7-AB66-4F89-8FE2-FBC5802A1FE0}"/>
    <cellStyle name="_评估申报表--老版－审计0000_收益预测表_主营业务成本" xfId="245" xr:uid="{288550C2-FFD9-4622-AE57-F9581104CE7B}"/>
    <cellStyle name="_评估申报表--老版－审计0000_收益预测表_资本性支出" xfId="246" xr:uid="{B2A89116-B476-479C-A43F-D3E92388A374}"/>
    <cellStyle name="_评估申报表--老版－审计0000_收益预测表1" xfId="247" xr:uid="{4A870A10-C498-4C2A-AA5D-F97C9E132954}"/>
    <cellStyle name="_评估申报表--老版－审计0000_收益预测表1_Sheet1" xfId="248" xr:uid="{613FB3A9-EF9B-4EA6-875B-5134A9BDF4A6}"/>
    <cellStyle name="_评估申报表--老版－审计0000_收益预测表1_财务费用" xfId="249" xr:uid="{D5D9C0D7-7319-4842-B54F-BF1E246C29B9}"/>
    <cellStyle name="_评估申报表--老版－审计0000_收益预测表1_电力企业收益法表格双辽发电厂" xfId="250" xr:uid="{B78BDC86-39CE-4BD9-8AE8-E885CD7B931E}"/>
    <cellStyle name="_评估申报表--老版－审计0000_收益预测表1_发电量" xfId="251" xr:uid="{F9628556-CAB2-4B4C-A94A-21CDEDE61BF9}"/>
    <cellStyle name="_评估申报表--老版－审计0000_收益预测表1_负息负债明细表" xfId="252" xr:uid="{D645B1AE-6E86-4E37-8CFA-1F5EB47199F2}"/>
    <cellStyle name="_评估申报表--老版－审计0000_收益预测表1_环保费" xfId="253" xr:uid="{D72C7DCC-C4F0-4B04-A890-69CA2D7F4B2B}"/>
    <cellStyle name="_评估申报表--老版－审计0000_收益预测表1_人工费" xfId="254" xr:uid="{2EB4143A-1C8E-4B6F-BE9E-F20053A15543}"/>
    <cellStyle name="_评估申报表--老版－审计0000_收益预测表1_双鸭山收益法" xfId="255" xr:uid="{8D2E7E72-8DAD-41C6-AD92-84AB270A9307}"/>
    <cellStyle name="_评估申报表--老版－审计0000_收益预测表1_销售收入" xfId="256" xr:uid="{57D0A421-B17D-4189-8A58-B60A0A348CFC}"/>
    <cellStyle name="_评估申报表--老版－审计0000_收益预测表1_永川火电收益法表20090228" xfId="257" xr:uid="{4EB1A7CF-0082-4F7D-9449-B5AC63AE888F}"/>
    <cellStyle name="_评估申报表--老版－审计0000_收益预测表1_中山南朗收益法评估表格（人工定稿）" xfId="258" xr:uid="{256CED78-83EC-49C6-BDC5-A32D7BDA6EDA}"/>
    <cellStyle name="_评估申报表--老版－审计0000_收益预测表1_主营业务成本" xfId="259" xr:uid="{FAD2979C-0323-427E-A761-6B99E52619A4}"/>
    <cellStyle name="_评估申报表--老版－审计0000_收益预测表1_资本性支出" xfId="260" xr:uid="{DB691C69-AE18-4723-91AB-53313069219B}"/>
    <cellStyle name="_评估申报表--老版－审计0000_收益预测表--成本" xfId="261" xr:uid="{53C5C7B9-A743-4E11-AFC3-14058A43368F}"/>
    <cellStyle name="_评估申报表--老版－审计0000_收益预测表--成本_Sheet1" xfId="262" xr:uid="{7EDB2EC0-C542-4AC5-A042-8E950FF64A28}"/>
    <cellStyle name="_评估申报表--老版－审计0000_收益预测表--成本_财务费用" xfId="263" xr:uid="{24A007BB-6D13-4DA6-8A36-FC8A0EEA0752}"/>
    <cellStyle name="_评估申报表--老版－审计0000_收益预测表--成本_电力企业收益法表格双辽发电厂" xfId="264" xr:uid="{2DAC340D-9753-436A-87AE-627CBF0665CB}"/>
    <cellStyle name="_评估申报表--老版－审计0000_收益预测表--成本_发电量" xfId="265" xr:uid="{07BEE4BB-1A6B-46B8-915C-A33BBCB5A19A}"/>
    <cellStyle name="_评估申报表--老版－审计0000_收益预测表--成本_负息负债明细表" xfId="266" xr:uid="{C476C76B-001E-433F-A07F-1D08F5FEB8E1}"/>
    <cellStyle name="_评估申报表--老版－审计0000_收益预测表--成本_环保费" xfId="267" xr:uid="{45C34FF5-BDEF-48EA-8A9E-B77A17590EFF}"/>
    <cellStyle name="_评估申报表--老版－审计0000_收益预测表--成本_人工费" xfId="268" xr:uid="{95B9D8D6-3439-4408-94F4-3F9F83D6ADD2}"/>
    <cellStyle name="_评估申报表--老版－审计0000_收益预测表--成本_双鸭山收益法" xfId="269" xr:uid="{BAB6221F-4AF0-47AC-9CCC-A4D1B0E4E01A}"/>
    <cellStyle name="_评估申报表--老版－审计0000_收益预测表--成本_销售收入" xfId="270" xr:uid="{21ABCC8A-211C-4067-A118-72BB42422170}"/>
    <cellStyle name="_评估申报表--老版－审计0000_收益预测表--成本_永川火电收益法表20090228" xfId="271" xr:uid="{8E996142-5C1F-486D-80B3-C358E25862EC}"/>
    <cellStyle name="_评估申报表--老版－审计0000_收益预测表--成本_中山南朗收益法评估表格（人工定稿）" xfId="272" xr:uid="{EEB73A49-8B0A-439B-9C80-2AE959160F5D}"/>
    <cellStyle name="_评估申报表--老版－审计0000_收益预测表--成本_主营业务成本" xfId="273" xr:uid="{B27BC246-D22B-4DC7-A853-2DE824292596}"/>
    <cellStyle name="_评估申报表--老版－审计0000_收益预测表--成本_资本性支出" xfId="274" xr:uid="{63863E62-461B-4D50-8C2B-5A083675409B}"/>
    <cellStyle name="_评估申报表--老版－审计0000_双鸭山收益法" xfId="275" xr:uid="{E6C5F6F7-19AC-4B92-AA2F-70B74DA31076}"/>
    <cellStyle name="_评估申报表--老版－审计0000_销售收入" xfId="276" xr:uid="{31BD7C58-A990-44ED-B674-0C3E9DF6DBB2}"/>
    <cellStyle name="_评估申报表--老版－审计0000_新华收益法申报表-制造业-复杂2" xfId="277" xr:uid="{9A9BEDD6-D2C8-493C-86B1-FA65AE0612D7}"/>
    <cellStyle name="_评估申报表--老版－审计0000_永川火电收益法表20090228" xfId="278" xr:uid="{AB79291C-D0B2-46EF-9054-02ED1224193A}"/>
    <cellStyle name="_评估申报表--老版－审计0000_折现率wind计算模型-火电模型" xfId="279" xr:uid="{E1E8A62D-C30B-4AEE-A39F-B0A5707648D7}"/>
    <cellStyle name="_评估申报表--老版－审计0000_折现率-数值版-航空" xfId="280" xr:uid="{D59C4426-93CA-4927-9FE6-508B2A790E7F}"/>
    <cellStyle name="_评估申报表--老版－审计0000_制造业收益法模型表" xfId="281" xr:uid="{C2E2EB83-0942-46C8-BB02-3C8797F16C3F}"/>
    <cellStyle name="_评估申报表--老版－审计0000_中山南朗收益法评估表格（人工定稿）" xfId="282" xr:uid="{DD0FF7B1-22E2-438B-AA84-86CA5655B694}"/>
    <cellStyle name="_评估申报表--老版－审计0000_主营业务成本" xfId="283" xr:uid="{33693D29-9EE3-4B60-A38C-CDEF8E6A1516}"/>
    <cellStyle name="_评估申报表--老版－审计0000_资本性支出" xfId="284" xr:uid="{EA743090-1413-4CB0-B765-C327664E02D4}"/>
    <cellStyle name="_评估申报表--老版－审计0000_资本支出预测表" xfId="285" xr:uid="{EFA25603-57C0-48E3-8579-309C2119ECBF}"/>
    <cellStyle name="_三河成本法1期20060721" xfId="286" xr:uid="{010C8170-464E-4372-B71C-1F615EA0CC66}"/>
    <cellStyle name="_上市公司名单" xfId="287" xr:uid="{7570F0A6-0A00-407D-93C3-C656E4139D67}"/>
    <cellStyle name="_深南玻价值估计070225" xfId="288" xr:uid="{7AF6AEE9-7318-40E6-98D4-3365D31E2662}"/>
    <cellStyle name="_深圳赤湾胜宝旺工程有限公司现金流模型预测0806(5)" xfId="289" xr:uid="{9F74172F-C1C8-46F3-91BE-C8D0B07E2160}"/>
    <cellStyle name="_审计调查表.V3" xfId="290" xr:uid="{217DAFB7-2BBA-4FAD-85D0-E4FB25B0AD07}"/>
    <cellStyle name="_石嘴山一电收益法计算表" xfId="291" xr:uid="{FB9F6D43-20EC-4A65-81F2-9D293EA38EAF}"/>
    <cellStyle name="_试算-新钢钒收益表(11.16)" xfId="292" xr:uid="{C3D0AEC0-20EA-455E-A419-DC6B6DBD9191}"/>
    <cellStyle name="_收益法计算表" xfId="293" xr:uid="{AECC9A8D-136F-41B1-ACBC-BB666FA52E58}"/>
    <cellStyle name="_收益预测表（正龙煤业）" xfId="294" xr:uid="{A3CF1123-7FFE-4457-AE4F-AC36FC3E95B1}"/>
    <cellStyle name="_土地评估样表(万)" xfId="295" xr:uid="{FE3D9798-B94D-43A7-8E09-2E37F3B9FFF0}"/>
    <cellStyle name="_文函专递0211-施工企业调查表（附件）" xfId="296" xr:uid="{D0BA2153-5DF1-44AC-B16A-0863509D1EB6}"/>
    <cellStyle name="_新准则三年一期试算平衡表太白单户" xfId="297" xr:uid="{93E2F162-B24B-45DF-9F7E-75C39A212003}"/>
    <cellStyle name="_新准则三年一期试算平衡表乌拉嘎" xfId="298" xr:uid="{B9C9679E-C7D0-4A07-8DE3-C69178A06408}"/>
    <cellStyle name="_扬巴资产评估申报表（收益法）－袁（9.6）" xfId="299" xr:uid="{D7F6CDF7-CC83-404E-8B59-E17AE38D03AE}"/>
    <cellStyle name="_扬巴资产评估申报表（收益法）－袁（9.6） 2" xfId="300" xr:uid="{E003B886-5259-40FE-82DF-895D94708581}"/>
    <cellStyle name="_扬巴资产评估申报表（收益法）－袁（9.6） 3" xfId="301" xr:uid="{247DF2CE-C280-40FD-BE51-516324A36DF7}"/>
    <cellStyle name="_永城煤电土地评估申报表" xfId="302" xr:uid="{C7BB045C-4F1E-4762-8397-DDF62680021B}"/>
    <cellStyle name="_预测" xfId="303" xr:uid="{D5316AF1-8CA1-44B7-A0CF-A826421A7631}"/>
    <cellStyle name="_折线系数" xfId="304" xr:uid="{678AE3D9-028E-420E-B8E7-3CB8C184E156}"/>
    <cellStyle name="_折线系数 2" xfId="305" xr:uid="{6D0900E3-9AD0-45E7-A518-745D068DACC6}"/>
    <cellStyle name="_折线系数 3" xfId="306" xr:uid="{5822025A-AD05-44BF-BC0A-80043EF93477}"/>
    <cellStyle name="_折线系数_附件5：企业整体评估收益法申报表 (version 1)" xfId="307" xr:uid="{9F10DF9A-8B16-4002-989F-2DC27D0BBF99}"/>
    <cellStyle name="_折线系数_附件5：企业整体评估收益法申报表 (version 1) 2" xfId="308" xr:uid="{740831AD-69FA-4DD6-8780-39F9075F4194}"/>
    <cellStyle name="_折线系数_附件5：企业整体评估收益法申报表 (version 1) 3" xfId="309" xr:uid="{586AFFD7-28AB-4271-AA40-99A600B540C7}"/>
    <cellStyle name="_折线系数_附件5：企业整体评估收益法申报表 (version 1)_采埃孚整体评估收益法-11" xfId="310" xr:uid="{D164E6A5-B45A-4170-A7D2-F409A50F6A74}"/>
    <cellStyle name="_折线系数_附件5：企业整体评估收益法申报表 (version 1)_采埃孚整体评估收益法-11 2" xfId="311" xr:uid="{2DEE705B-2106-4C3D-A159-B15ABD2A6DA6}"/>
    <cellStyle name="_折线系数_附件5：企业整体评估收益法申报表 (version 1)_采埃孚整体评估收益法-11 3" xfId="312" xr:uid="{EBF2FA37-5483-49F0-9DF0-32700C22992B}"/>
    <cellStyle name="_折线系数_附件5：企业整体评估收益法申报表 (version 1)_宁国收入明细" xfId="313" xr:uid="{51ADED13-C60A-471D-ABFA-7B79BA485628}"/>
    <cellStyle name="_折线系数_附件5：企业整体评估收益法申报表 (version 1)_宁国收入明细 2" xfId="314" xr:uid="{9B41A88D-D89E-419B-A744-D4242453D785}"/>
    <cellStyle name="_折线系数_附件5：企业整体评估收益法申报表 (version 1)_宁国收入明细 3" xfId="315" xr:uid="{533C6312-8AEF-49A6-A0FD-1E6FC0ABDA64}"/>
    <cellStyle name="_折线系数_华豫920项目计算表9-18" xfId="316" xr:uid="{C60016AC-191A-4227-8F9A-5376A457650B}"/>
    <cellStyle name="_折线系数_华豫920项目计算表9-5" xfId="317" xr:uid="{E32AE0AA-FFB6-4872-AE5A-0ECA676396F4}"/>
    <cellStyle name="_折线系数_华豫920项目计算表9-6" xfId="318" xr:uid="{66F89F03-984B-4CD8-B1C2-4EE00CD3CA16}"/>
    <cellStyle name="_折线系数_五凌电力现金流计算表（收益法双方案）20060827" xfId="319" xr:uid="{AC74EAC9-25DB-4E97-81D2-86C17DF86AA1}"/>
    <cellStyle name="_浙江收入成本预测" xfId="320" xr:uid="{A7E9F7FB-4A2F-4C77-B929-7A1CBDB9A81F}"/>
    <cellStyle name="_资产基础法08.7.15" xfId="321" xr:uid="{69DFA64B-8836-4B0B-87EE-D42F5B0E2B2E}"/>
    <cellStyle name="_资产评估申报表（成本法）" xfId="322" xr:uid="{A5AF9447-50C7-4188-970E-FD477A08B15C}"/>
    <cellStyle name="_宗申现金流预测060723" xfId="323" xr:uid="{EE5C41C5-5611-4EAC-B427-18C7D9B4DCA9}"/>
    <cellStyle name="_宗申现金流预测060723 2" xfId="324" xr:uid="{C62C1A50-5F9D-44E8-B155-DD37E428E294}"/>
    <cellStyle name="_宗申现金流预测060723 3" xfId="325" xr:uid="{E5BB3787-78AB-49DC-899A-EE0E746203DE}"/>
    <cellStyle name="_宗申现金流预测060723_附件5：企业整体评估收益法申报表 (version 1)" xfId="326" xr:uid="{861C5AC9-6A2D-4B6B-AD4C-897167E01281}"/>
    <cellStyle name="_宗申现金流预测060723_附件5：企业整体评估收益法申报表 (version 1) 2" xfId="327" xr:uid="{0075D087-56CA-4F8A-8E4E-304DF62B96CD}"/>
    <cellStyle name="_宗申现金流预测060723_附件5：企业整体评估收益法申报表 (version 1) 3" xfId="328" xr:uid="{D9BE382E-4C7F-451B-90CA-7E3BF32DB2BB}"/>
    <cellStyle name="_宗申现金流预测060723_附件5：企业整体评估收益法申报表 (version 1)_采埃孚整体评估收益法-11" xfId="329" xr:uid="{200B7456-7423-47F8-8163-D19CDBEB08DA}"/>
    <cellStyle name="_宗申现金流预测060723_附件5：企业整体评估收益法申报表 (version 1)_采埃孚整体评估收益法-11 2" xfId="330" xr:uid="{08457B1B-8E1A-4613-AA00-D148469637B7}"/>
    <cellStyle name="_宗申现金流预测060723_附件5：企业整体评估收益法申报表 (version 1)_采埃孚整体评估收益法-11 3" xfId="331" xr:uid="{F7DEB9C2-641B-47F9-AE70-442F997BA50A}"/>
    <cellStyle name="_宗申现金流预测060723_附件5：企业整体评估收益法申报表 (version 1)_宁国收入明细" xfId="332" xr:uid="{879D7C4F-BFA9-4221-A8E2-DA52D65E518F}"/>
    <cellStyle name="_宗申现金流预测060723_附件5：企业整体评估收益法申报表 (version 1)_宁国收入明细 2" xfId="333" xr:uid="{12C2CA0B-CFD6-41C3-B5F0-24B28EAB3F46}"/>
    <cellStyle name="_宗申现金流预测060723_附件5：企业整体评估收益法申报表 (version 1)_宁国收入明细 3" xfId="334" xr:uid="{61143BDF-C921-483C-93FE-0DF9844F7514}"/>
    <cellStyle name="_宗申现金流预测060723_华豫920项目计算表9-18" xfId="335" xr:uid="{430685D4-B94A-43B1-AA71-CAAFCDD6FF31}"/>
    <cellStyle name="_宗申现金流预测060723_华豫920项目计算表9-5" xfId="336" xr:uid="{85F6ACFE-CC37-4E22-832C-0735FDB85D4B}"/>
    <cellStyle name="_宗申现金流预测060723_华豫920项目计算表9-6" xfId="337" xr:uid="{E3D4F991-CE7D-4FD1-A928-2799D56FF563}"/>
    <cellStyle name="_宗申现金流预测060723_五凌电力现金流计算表（收益法双方案）20060827" xfId="338" xr:uid="{E706A978-0C2E-4F82-9F7C-F4A5E862F02D}"/>
    <cellStyle name="{Comma [0]}" xfId="339" xr:uid="{6B5F5257-7676-427A-849A-AFA24071E16A}"/>
    <cellStyle name="{Comma}" xfId="340" xr:uid="{F186A1CA-FB06-4C92-B7B4-BCD19C0E7DCE}"/>
    <cellStyle name="{Date}" xfId="341" xr:uid="{8B989C1B-E558-4809-B039-C0D8C714C2F9}"/>
    <cellStyle name="{Month}" xfId="342" xr:uid="{7E0C2CF9-8EDD-4E3B-B404-A81BDF969B93}"/>
    <cellStyle name="{Percent}" xfId="343" xr:uid="{FD9EF00A-1C1D-4A96-AD0C-7B882AF0C25A}"/>
    <cellStyle name="{Thousand [0]}" xfId="344" xr:uid="{28ABEB2C-42C1-4763-A0CC-296475CC5E40}"/>
    <cellStyle name="{Thousand}" xfId="345" xr:uid="{2EA86400-6DE0-4010-8ED0-C09A40FE6A52}"/>
    <cellStyle name="{Z'0000(1 dec)}" xfId="346" xr:uid="{B3C05367-DC80-4B97-B79D-DA394060DFD1}"/>
    <cellStyle name="{Z'0000(4 dec)}" xfId="347" xr:uid="{4FA4E141-8ABA-4E90-95EF-FD5DAF7E0BDA}"/>
    <cellStyle name="’ê‰Y [0.00]_!!!GOSum" xfId="348" xr:uid="{532F8BB9-1142-478E-9B37-0A7D6CC07AB3}"/>
    <cellStyle name="’ê‰Y_!!!GO]_R" xfId="349" xr:uid="{C186ED0B-6260-412A-93AC-8570A714A6AD}"/>
    <cellStyle name="£ BP" xfId="350" xr:uid="{8D061C4F-B9E8-47B1-979E-F4BA8483B5EE}"/>
    <cellStyle name="¥ JY" xfId="351" xr:uid="{B5F42033-5CF3-4F02-ACED-97EB50C61F86}"/>
    <cellStyle name="0" xfId="352" xr:uid="{EA1BE30F-4C2E-4F1A-9919-5AC9913B1772}"/>
    <cellStyle name="0%" xfId="353" xr:uid="{C6FE7F02-BA6F-4F84-AFEE-F841F24AFD7E}"/>
    <cellStyle name="0% 2" xfId="354" xr:uid="{61A9BE40-E49C-454B-8231-CA72560BDE20}"/>
    <cellStyle name="0,0_x000d__x000a_NA_x000d__x000a_" xfId="355" xr:uid="{F2E8DF76-A2ED-452E-A527-4B6C95CE7EBC}"/>
    <cellStyle name="0,0_x000d__x000a_NA_x000d__x000a_ 2" xfId="356" xr:uid="{450784DF-6B56-4E8C-BFA7-12511D6463F5}"/>
    <cellStyle name="0,0_x000d__x000a_NA_x000d__x000a_ 3" xfId="357" xr:uid="{1364D9AE-2D37-4640-9754-0A71FACB512C}"/>
    <cellStyle name="0,0_x000d__x000a_NA_x000d__x000a_ 4" xfId="358" xr:uid="{8EADEE2F-F078-40D4-9E82-9FF7ED4E6F17}"/>
    <cellStyle name="0,0_x000d__x000a_NA_x000d__x000a__常州变压器试算平衡表8-22" xfId="359" xr:uid="{9497F852-AFA1-4258-BF39-E4B99B7A9EF1}"/>
    <cellStyle name="0.0%" xfId="360" xr:uid="{68BBB385-6EF3-46F9-813E-B822C3D390C3}"/>
    <cellStyle name="0.00%" xfId="361" xr:uid="{1BDF473A-4F2E-474C-9137-CBE77A69B38C}"/>
    <cellStyle name="00" xfId="362" xr:uid="{050B7E8B-20A3-4481-B61B-3067EC96E0DF}"/>
    <cellStyle name="00 2" xfId="363" xr:uid="{CCF8856C-82D1-47D5-A164-36D2DED8B16F}"/>
    <cellStyle name="00 3" xfId="364" xr:uid="{809036F2-303A-48DF-8EB0-EC49838D7744}"/>
    <cellStyle name="00 4" xfId="365" xr:uid="{699B6BDD-8D4C-4099-A58D-7D0B6CFE8EB8}"/>
    <cellStyle name="00 5" xfId="366" xr:uid="{0B5A0FC5-41BF-4F4A-94F5-A6537EF04970}"/>
    <cellStyle name="10" xfId="367" xr:uid="{4DED6CD3-993F-4584-9C04-E35850649DA9}"/>
    <cellStyle name="12" xfId="368" xr:uid="{880581B3-765B-405B-BA43-257F6F5C590C}"/>
    <cellStyle name="14" xfId="369" xr:uid="{A705ED64-7555-4037-9516-F0990ADA01FE}"/>
    <cellStyle name="18" xfId="370" xr:uid="{1ABBFC49-75FB-4139-A653-E7F151D91EBE}"/>
    <cellStyle name="20% - Accent1" xfId="371" xr:uid="{F006F015-98E0-4E7B-A398-829F12EB4676}"/>
    <cellStyle name="20% - Accent1 2" xfId="372" xr:uid="{1302AC20-D487-4178-80AC-9F51DC702494}"/>
    <cellStyle name="20% - Accent1_Sheet1" xfId="373" xr:uid="{254E175D-D62D-4DEA-BBFF-4F4B5C44F486}"/>
    <cellStyle name="20% - Accent2" xfId="374" xr:uid="{22584667-5321-4272-88FB-4F9B00CA43CC}"/>
    <cellStyle name="20% - Accent2 2" xfId="375" xr:uid="{A8CE4D07-2EE0-48EC-B589-93E623084927}"/>
    <cellStyle name="20% - Accent2_Sheet1" xfId="376" xr:uid="{00312C99-BA1F-491C-A096-B34DF6B1208E}"/>
    <cellStyle name="20% - Accent3" xfId="377" xr:uid="{3C48EB3C-67F4-438E-898D-168710E372EC}"/>
    <cellStyle name="20% - Accent3 2" xfId="378" xr:uid="{BFDBFE9A-35A5-421D-A2E7-BC52EAA91587}"/>
    <cellStyle name="20% - Accent3_Sheet1" xfId="379" xr:uid="{CC31F003-4E5D-47A6-8CBB-2D6222BDB19A}"/>
    <cellStyle name="20% - Accent4" xfId="380" xr:uid="{A089DD3D-D002-4958-8B2D-5A0917BC5EE7}"/>
    <cellStyle name="20% - Accent4 2" xfId="381" xr:uid="{78B54E0C-D39D-43BD-9C2B-203EECD9CA99}"/>
    <cellStyle name="20% - Accent4_Sheet1" xfId="382" xr:uid="{60E34968-6A20-4154-B719-2EE08BD47FDC}"/>
    <cellStyle name="20% - Accent5" xfId="383" xr:uid="{1235A017-417F-4F8D-90B7-FB6722E19757}"/>
    <cellStyle name="20% - Accent5 2" xfId="384" xr:uid="{676F5608-8B20-4E48-B10F-A924D9DD17B8}"/>
    <cellStyle name="20% - Accent5_Sheet1" xfId="385" xr:uid="{EA061481-A0E9-4684-89DC-67B23FA8E96F}"/>
    <cellStyle name="20% - Accent6" xfId="386" xr:uid="{060BB151-6974-4AEA-AE04-EE1FEDA0BC90}"/>
    <cellStyle name="20% - Accent6 2" xfId="387" xr:uid="{B898FD55-00A3-4AA0-9875-D0B9EDC0859C}"/>
    <cellStyle name="20% - Accent6_Sheet1" xfId="388" xr:uid="{92266857-C04A-4168-8D5E-E34D6BFCEBCF}"/>
    <cellStyle name="20% - 輔色1" xfId="389" xr:uid="{FDE2C845-517D-4F61-AA09-C193F680BA6B}"/>
    <cellStyle name="20% - 輔色2" xfId="390" xr:uid="{1EB2A148-6FFF-40EF-9C9C-6C8E253FA02B}"/>
    <cellStyle name="20% - 輔色3" xfId="391" xr:uid="{DA6E08F7-3643-483A-953C-FBF6C3CF453F}"/>
    <cellStyle name="20% - 輔色4" xfId="392" xr:uid="{4D2BF394-CC82-4EF5-A1B4-E0496A84A849}"/>
    <cellStyle name="20% - 輔色5" xfId="393" xr:uid="{32F55E4E-6623-4AA2-A450-6482239D3C74}"/>
    <cellStyle name="20% - 輔色6" xfId="394" xr:uid="{0B92BD01-A086-4B26-92FF-4E4E3F270DC6}"/>
    <cellStyle name="20% - 强调文字颜色 1 2" xfId="395" xr:uid="{28505C1A-8A47-4843-80F8-74C84FF3A687}"/>
    <cellStyle name="20% - 强调文字颜色 1 2 2" xfId="396" xr:uid="{50C3C73D-0104-4D3B-AD39-2A3B9CF559E1}"/>
    <cellStyle name="20% - 强调文字颜色 1 2_Sheet1" xfId="397" xr:uid="{6D0E3605-A77F-4B3E-B9BA-1CF17E2A0FAA}"/>
    <cellStyle name="20% - 强调文字颜色 1 3" xfId="398" xr:uid="{1DBBEC64-C544-4FF5-9573-003E13A14B78}"/>
    <cellStyle name="20% - 强调文字颜色 1 4" xfId="399" xr:uid="{C374F541-973C-4F02-B383-BE72FF9EAF2A}"/>
    <cellStyle name="20% - 强调文字颜色 1 5" xfId="400" xr:uid="{D3EDF1E2-623A-4BA1-9288-A958A34832B4}"/>
    <cellStyle name="20% - 强调文字颜色 1 6" xfId="401" xr:uid="{684E4031-26EE-4F09-8147-7F07CD0707F6}"/>
    <cellStyle name="20% - 强调文字颜色 1 7" xfId="402" xr:uid="{9D4B24F1-6E39-4FB7-A1B6-5BCE3C66AB74}"/>
    <cellStyle name="20% - 强调文字颜色 2 2" xfId="403" xr:uid="{1ED46E44-595B-48FF-8146-6B6578681292}"/>
    <cellStyle name="20% - 强调文字颜色 2 2 2" xfId="404" xr:uid="{7D2B704C-13E4-4F95-8741-B56B547B9C24}"/>
    <cellStyle name="20% - 强调文字颜色 2 2_Sheet1" xfId="405" xr:uid="{75CF3DAA-7EBB-46EA-99D1-29275A971D89}"/>
    <cellStyle name="20% - 强调文字颜色 2 3" xfId="406" xr:uid="{EEC754CD-2229-46F5-AD6A-41B60C7A24F6}"/>
    <cellStyle name="20% - 强调文字颜色 2 4" xfId="407" xr:uid="{AEC3C3F7-0AAD-411A-9D87-65FB9D0D4AD9}"/>
    <cellStyle name="20% - 强调文字颜色 2 5" xfId="408" xr:uid="{8499FB6A-F762-432B-98A9-A326ED8A208F}"/>
    <cellStyle name="20% - 强调文字颜色 2 6" xfId="409" xr:uid="{44C68E0D-B5BD-4FE3-96DB-B507D2F52194}"/>
    <cellStyle name="20% - 强调文字颜色 2 7" xfId="410" xr:uid="{C9EA3D8D-B67F-42B9-ADE7-DFF030D0B846}"/>
    <cellStyle name="20% - 强调文字颜色 3 2" xfId="411" xr:uid="{75A5F6A9-9E7A-4EBD-B50B-DA6A460DD633}"/>
    <cellStyle name="20% - 强调文字颜色 3 2 2" xfId="412" xr:uid="{B6CE4F31-1455-408C-9E4A-DC62253EAD6F}"/>
    <cellStyle name="20% - 强调文字颜色 3 2_Sheet1" xfId="413" xr:uid="{8CEB57A4-A97A-42A1-9D43-2298D2EC8B6B}"/>
    <cellStyle name="20% - 强调文字颜色 3 3" xfId="414" xr:uid="{206289DD-A854-477E-BD3D-3EAA66DA09AB}"/>
    <cellStyle name="20% - 强调文字颜色 3 4" xfId="415" xr:uid="{C5A2755C-CA25-4168-96A9-09521CCA6151}"/>
    <cellStyle name="20% - 强调文字颜色 3 5" xfId="416" xr:uid="{59BBB54A-CFB3-4DE1-A9C6-7A18D89F2311}"/>
    <cellStyle name="20% - 强调文字颜色 3 6" xfId="417" xr:uid="{32F0D38F-4B7E-4DB7-9959-0295F216C222}"/>
    <cellStyle name="20% - 强调文字颜色 3 7" xfId="418" xr:uid="{631BC1D6-6467-4690-A3ED-9CB7AE9FE225}"/>
    <cellStyle name="20% - 强调文字颜色 4 2" xfId="419" xr:uid="{F3DED20B-C538-42ED-935C-484DC72BE732}"/>
    <cellStyle name="20% - 强调文字颜色 4 2 2" xfId="420" xr:uid="{BE0D01B6-B033-4DB3-A51C-820E13E0BC80}"/>
    <cellStyle name="20% - 强调文字颜色 4 2_Sheet1" xfId="421" xr:uid="{1F5141E8-4B1E-4169-AB5F-667CBE35929A}"/>
    <cellStyle name="20% - 强调文字颜色 4 3" xfId="422" xr:uid="{BA94B0D6-1877-4AC6-A172-8AEFBEAD03C8}"/>
    <cellStyle name="20% - 强调文字颜色 4 4" xfId="423" xr:uid="{E5B1974B-F007-41F9-AFDC-CB701D3B7BDC}"/>
    <cellStyle name="20% - 强调文字颜色 4 5" xfId="424" xr:uid="{B7A4D35C-F340-40FF-9127-AF7CE56E52E0}"/>
    <cellStyle name="20% - 强调文字颜色 4 6" xfId="425" xr:uid="{C456A83F-B952-4F69-AE2C-E165DEE37342}"/>
    <cellStyle name="20% - 强调文字颜色 4 7" xfId="426" xr:uid="{380B16CD-8B8B-4C0B-8AC4-CB8D9119CE44}"/>
    <cellStyle name="20% - 强调文字颜色 5 2" xfId="427" xr:uid="{DF058C40-31B6-4673-9EB2-43104E4CC3B1}"/>
    <cellStyle name="20% - 强调文字颜色 5 2 2" xfId="428" xr:uid="{E313D6BD-7936-4C5C-B06B-4F10CCDE3270}"/>
    <cellStyle name="20% - 强调文字颜色 5 2_Sheet1" xfId="429" xr:uid="{B69DA52D-1B82-40F2-B3B1-AB826D44F58C}"/>
    <cellStyle name="20% - 强调文字颜色 5 3" xfId="430" xr:uid="{F3424761-F418-40D9-80FA-99B935E76627}"/>
    <cellStyle name="20% - 强调文字颜色 5 4" xfId="431" xr:uid="{51CC4334-4BFD-4080-ABAE-4A2064BB8E51}"/>
    <cellStyle name="20% - 强调文字颜色 5 5" xfId="432" xr:uid="{F102D308-BE6F-4AA7-B0A6-8255FAA4922F}"/>
    <cellStyle name="20% - 强调文字颜色 5 6" xfId="433" xr:uid="{9852AEBA-B1AE-4769-B841-BF0384D7EA1F}"/>
    <cellStyle name="20% - 强调文字颜色 6 2" xfId="434" xr:uid="{9A091EC6-DF22-4199-804E-851ED7F7ADF6}"/>
    <cellStyle name="20% - 强调文字颜色 6 2 2" xfId="435" xr:uid="{603082AA-6F85-4677-9153-15B6E7155D8C}"/>
    <cellStyle name="20% - 强调文字颜色 6 2_Sheet1" xfId="436" xr:uid="{3848AE7E-0230-426D-B908-7EA87DC41C2D}"/>
    <cellStyle name="20% - 强调文字颜色 6 3" xfId="437" xr:uid="{79A36A55-56EA-420E-B9ED-7C537A455ADF}"/>
    <cellStyle name="20% - 强调文字颜色 6 4" xfId="438" xr:uid="{0B32D4ED-64DF-4FF9-9CD8-AE68762A3178}"/>
    <cellStyle name="20% - 强调文字颜色 6 5" xfId="439" xr:uid="{3A428DCC-B859-4294-A03F-E7B94F876517}"/>
    <cellStyle name="20% - 强调文字颜色 6 6" xfId="440" xr:uid="{1F6FE72E-8AA2-4FE4-B468-88B8F6BEA62C}"/>
    <cellStyle name="20% - 强调文字颜色 6 7" xfId="441" xr:uid="{4ABBD0CE-7FF4-496C-AF1B-BAE7FF93C92A}"/>
    <cellStyle name="24" xfId="442" xr:uid="{71A2B64D-24B6-4D87-859D-5B8EB5B47383}"/>
    <cellStyle name="3232" xfId="443" xr:uid="{23B28DA0-93AC-49E5-9949-C36C00B93B4E}"/>
    <cellStyle name="40% - Accent1" xfId="444" xr:uid="{2E48DB21-E7C6-4FF1-98C4-B5232228D480}"/>
    <cellStyle name="40% - Accent1 2" xfId="445" xr:uid="{6C07BE5B-C919-408E-B284-76BF5FA01382}"/>
    <cellStyle name="40% - Accent1_Sheet1" xfId="446" xr:uid="{9C0BED3E-D0F3-4A44-9E88-E0D1226D1232}"/>
    <cellStyle name="40% - Accent2" xfId="447" xr:uid="{07600216-A578-4889-9ED0-2C6CEFE90189}"/>
    <cellStyle name="40% - Accent2 2" xfId="448" xr:uid="{87BF709E-DC15-4719-A03F-6C20967A36D5}"/>
    <cellStyle name="40% - Accent2_Sheet1" xfId="449" xr:uid="{D3E0769D-3F2F-467E-A909-9509E3363731}"/>
    <cellStyle name="40% - Accent3" xfId="450" xr:uid="{462EF4E7-4F72-4D74-A1D4-E1B4E7AB69AF}"/>
    <cellStyle name="40% - Accent3 2" xfId="451" xr:uid="{43D76FB7-0956-4252-9DFE-FA4DC9368DAA}"/>
    <cellStyle name="40% - Accent3_Sheet1" xfId="452" xr:uid="{E05D8B97-D7E6-4139-A3B0-ADD1B78187A6}"/>
    <cellStyle name="40% - Accent4" xfId="453" xr:uid="{2CF3990D-7937-4216-8D67-F91634518DC7}"/>
    <cellStyle name="40% - Accent4 2" xfId="454" xr:uid="{C9B2AFF8-663D-41EA-B066-BBF11A7CF588}"/>
    <cellStyle name="40% - Accent4_Sheet1" xfId="455" xr:uid="{186432CE-907B-46D2-8D52-DB2BE4C04CFF}"/>
    <cellStyle name="40% - Accent5" xfId="456" xr:uid="{011B8AF1-CD2D-4437-8110-583134C78835}"/>
    <cellStyle name="40% - Accent5 2" xfId="457" xr:uid="{130842B8-A13C-41F0-9DFC-5A763EAD88B0}"/>
    <cellStyle name="40% - Accent5_Sheet1" xfId="458" xr:uid="{718E7F4E-D8C8-48A9-8FF5-9A2199195BD4}"/>
    <cellStyle name="40% - Accent6" xfId="459" xr:uid="{03A240B1-4E94-4F63-B5FF-CE057CA65D3F}"/>
    <cellStyle name="40% - Accent6 2" xfId="460" xr:uid="{3B820C05-0DFE-4645-8499-D8C92D341E25}"/>
    <cellStyle name="40% - Accent6_Sheet1" xfId="461" xr:uid="{1E8804B2-08C3-449C-906E-6856C2D3A381}"/>
    <cellStyle name="40% - 輔色1" xfId="462" xr:uid="{EC5D9B38-AED2-4A90-AF6F-C49A0FAD72D0}"/>
    <cellStyle name="40% - 輔色2" xfId="463" xr:uid="{18F9FC81-0F2B-4D03-A3B2-B5C9E37478DB}"/>
    <cellStyle name="40% - 輔色3" xfId="464" xr:uid="{4D898ACF-B5DD-4C4F-8B7E-D586EE83DDDD}"/>
    <cellStyle name="40% - 輔色4" xfId="465" xr:uid="{B3DF70FE-A694-43EC-99AE-16F10E83F43C}"/>
    <cellStyle name="40% - 輔色5" xfId="466" xr:uid="{A4E70812-4D33-4528-BDF2-75FC7E8D5416}"/>
    <cellStyle name="40% - 輔色6" xfId="467" xr:uid="{9F889E53-2D65-4AA9-AEBB-DAB7A11A5775}"/>
    <cellStyle name="40% - 强调文字颜色 1 2" xfId="468" xr:uid="{8464B141-523D-4401-A00D-889B4916D14B}"/>
    <cellStyle name="40% - 强调文字颜色 1 2 2" xfId="469" xr:uid="{98A818BC-1D56-4279-A43A-260A88A20295}"/>
    <cellStyle name="40% - 强调文字颜色 1 2_Sheet1" xfId="470" xr:uid="{9316324F-98E6-40EC-8D75-87C652157EF7}"/>
    <cellStyle name="40% - 强调文字颜色 1 3" xfId="471" xr:uid="{FC1ADBD2-64CF-4457-931F-4A1B86EA964D}"/>
    <cellStyle name="40% - 强调文字颜色 1 4" xfId="472" xr:uid="{CA2783C6-084D-4D79-BB61-F74F25D14108}"/>
    <cellStyle name="40% - 强调文字颜色 1 5" xfId="473" xr:uid="{E805BFCC-B9AC-4B2B-B75E-8F27E8D430E1}"/>
    <cellStyle name="40% - 强调文字颜色 1 6" xfId="474" xr:uid="{45802B9D-CCCE-4B61-A680-4F993017DF6B}"/>
    <cellStyle name="40% - 强调文字颜色 1 7" xfId="475" xr:uid="{1AC0F25B-45A4-4159-9604-813A1C713C2F}"/>
    <cellStyle name="40% - 强调文字颜色 2 2" xfId="476" xr:uid="{BDD27AC1-66D2-4543-842A-060482B00256}"/>
    <cellStyle name="40% - 强调文字颜色 2 2 2" xfId="477" xr:uid="{FD22D6BE-F0E8-4CEF-9EE4-2439C364A762}"/>
    <cellStyle name="40% - 强调文字颜色 2 2_Sheet1" xfId="478" xr:uid="{FDD6519E-ABB2-48AF-B66D-9FA29A0392AB}"/>
    <cellStyle name="40% - 强调文字颜色 2 3" xfId="479" xr:uid="{EAB0388E-DE02-4E6E-9CE5-0AB297D0E357}"/>
    <cellStyle name="40% - 强调文字颜色 2 4" xfId="480" xr:uid="{36E08D99-45C7-495C-ACBF-E71D58025810}"/>
    <cellStyle name="40% - 强调文字颜色 2 5" xfId="481" xr:uid="{58228094-1333-4604-8489-5D80DB5CFA0B}"/>
    <cellStyle name="40% - 强调文字颜色 2 6" xfId="482" xr:uid="{0EEA9947-EAA9-405F-A7E0-4905A1F8359B}"/>
    <cellStyle name="40% - 强调文字颜色 3 2" xfId="483" xr:uid="{D30465B9-FC83-43C5-8543-6B24D8E88CDC}"/>
    <cellStyle name="40% - 强调文字颜色 3 2 2" xfId="484" xr:uid="{D5ECD156-AE39-4E26-B905-AB66FDB1FD2B}"/>
    <cellStyle name="40% - 强调文字颜色 3 2_Sheet1" xfId="485" xr:uid="{ED3A93B4-1F6C-4531-B4CA-5A56BD478BEC}"/>
    <cellStyle name="40% - 强调文字颜色 3 3" xfId="486" xr:uid="{EC741EC0-AADC-4832-816B-ADE75CC63104}"/>
    <cellStyle name="40% - 强调文字颜色 3 4" xfId="487" xr:uid="{49E87034-D234-497D-B544-0050C897D1BF}"/>
    <cellStyle name="40% - 强调文字颜色 3 5" xfId="488" xr:uid="{1079D351-57EA-4AD8-80E4-F4FA724AC703}"/>
    <cellStyle name="40% - 强调文字颜色 3 6" xfId="489" xr:uid="{0FDE215E-320D-4BD6-9302-D087C0EC36BE}"/>
    <cellStyle name="40% - 强调文字颜色 3 7" xfId="490" xr:uid="{3ABC8AE7-CC68-4B64-9EB6-99081F7B01A6}"/>
    <cellStyle name="40% - 强调文字颜色 4 2" xfId="491" xr:uid="{6F5F223B-5D15-4E08-9011-E997EC1FDBE4}"/>
    <cellStyle name="40% - 强调文字颜色 4 2 2" xfId="492" xr:uid="{AC345367-CC65-4A30-A205-8889BAAB46E4}"/>
    <cellStyle name="40% - 强调文字颜色 4 2_Sheet1" xfId="493" xr:uid="{3180B581-09F2-4F3E-9CAA-26BE6C848FED}"/>
    <cellStyle name="40% - 强调文字颜色 4 3" xfId="494" xr:uid="{D40C432C-300A-4BA3-B2BA-ADEA7FE6E087}"/>
    <cellStyle name="40% - 强调文字颜色 4 4" xfId="495" xr:uid="{A2F5679A-2CFA-4857-8AA9-FF70AE74589B}"/>
    <cellStyle name="40% - 强调文字颜色 4 5" xfId="496" xr:uid="{AE2D37D1-740E-4B91-9008-EE7147A74E8B}"/>
    <cellStyle name="40% - 强调文字颜色 4 6" xfId="497" xr:uid="{8034F818-96F0-4B47-B88A-388F43717C5C}"/>
    <cellStyle name="40% - 强调文字颜色 4 7" xfId="498" xr:uid="{48310E0D-A3BE-4900-B5AA-D3CF974B729E}"/>
    <cellStyle name="40% - 强调文字颜色 5 2" xfId="499" xr:uid="{701D9242-0A1D-4A4F-A3FA-3889DBC5C06E}"/>
    <cellStyle name="40% - 强调文字颜色 5 2 2" xfId="500" xr:uid="{2DCF8137-DAC2-4095-A95D-D97CA60C4D4F}"/>
    <cellStyle name="40% - 强调文字颜色 5 2_Sheet1" xfId="501" xr:uid="{EBF73487-79D4-4869-866C-2A71354D47CB}"/>
    <cellStyle name="40% - 强调文字颜色 5 3" xfId="502" xr:uid="{1A899B35-51B7-4405-9711-58B554FD92FE}"/>
    <cellStyle name="40% - 强调文字颜色 5 4" xfId="503" xr:uid="{9C7449B2-9BAF-4EE2-B272-7D90E249C3A4}"/>
    <cellStyle name="40% - 强调文字颜色 5 5" xfId="504" xr:uid="{37AB5477-B20D-4AC4-957A-051547D2689A}"/>
    <cellStyle name="40% - 强调文字颜色 5 6" xfId="505" xr:uid="{288A3EDE-93F5-4AB3-A2E8-CB5CB9DB4ECC}"/>
    <cellStyle name="40% - 强调文字颜色 5 7" xfId="506" xr:uid="{594AC03E-F029-4701-B7FA-3EF5F52BB3B6}"/>
    <cellStyle name="40% - 强调文字颜色 6 2" xfId="507" xr:uid="{EAE4B4A5-F3EA-4973-BE0E-89703D7D5325}"/>
    <cellStyle name="40% - 强调文字颜色 6 2 2" xfId="508" xr:uid="{EBE5BFEF-3E74-4ECC-B0A3-88BB2AD35917}"/>
    <cellStyle name="40% - 强调文字颜色 6 2_Sheet1" xfId="509" xr:uid="{91B86252-00CF-42D2-83ED-EABCAAEECBA2}"/>
    <cellStyle name="40% - 强调文字颜色 6 3" xfId="510" xr:uid="{6725C2CF-3417-4ED4-B92A-4D6FA9E12A8A}"/>
    <cellStyle name="40% - 强调文字颜色 6 4" xfId="511" xr:uid="{1F7A6A52-0419-4EA9-BA33-A7FC175AF23D}"/>
    <cellStyle name="40% - 强调文字颜色 6 5" xfId="512" xr:uid="{724A4EA3-BBA6-4F86-86A4-BF774940A1F7}"/>
    <cellStyle name="40% - 强调文字颜色 6 6" xfId="513" xr:uid="{96078B2C-2E50-4168-9D2C-B6F8C523EFD1}"/>
    <cellStyle name="40% - 强调文字颜色 6 7" xfId="514" xr:uid="{9BA74699-F8FA-440C-81D5-EDA232D0D21B}"/>
    <cellStyle name="60% - Accent1" xfId="515" xr:uid="{7D1F3319-0635-4BFA-9AF8-3ED145CDDD62}"/>
    <cellStyle name="60% - Accent1 2" xfId="516" xr:uid="{E1A70433-6541-4C4A-B575-B350A755309A}"/>
    <cellStyle name="60% - Accent1_Sheet1" xfId="517" xr:uid="{D0F4D99B-B302-4763-BCDD-065DD317A465}"/>
    <cellStyle name="60% - Accent2" xfId="518" xr:uid="{CA8BC6C5-190A-4DBD-8FD9-714982B5B544}"/>
    <cellStyle name="60% - Accent2 2" xfId="519" xr:uid="{A7F7FC1D-AD62-4BD1-9F0E-11812EC59023}"/>
    <cellStyle name="60% - Accent2_Sheet1" xfId="520" xr:uid="{13D6E6FF-4B65-448F-825C-3DE8CE212FBC}"/>
    <cellStyle name="60% - Accent3" xfId="521" xr:uid="{BB015D9A-73B5-4D15-B9A7-C8D66B7E0737}"/>
    <cellStyle name="60% - Accent3 2" xfId="522" xr:uid="{09D2B480-B414-4D89-A097-4C9D284BE27A}"/>
    <cellStyle name="60% - Accent3_Sheet1" xfId="523" xr:uid="{F86E0D17-3863-4DC3-A0CE-6F09C8EFE3E5}"/>
    <cellStyle name="60% - Accent4" xfId="524" xr:uid="{1D64495E-BCE2-4640-A486-B5A969833ACA}"/>
    <cellStyle name="60% - Accent4 2" xfId="525" xr:uid="{88A49B1D-D42E-4ABB-B75D-8782762002BC}"/>
    <cellStyle name="60% - Accent4_Sheet1" xfId="526" xr:uid="{11EF9774-DA16-4F48-A915-7BCA9EA8E12B}"/>
    <cellStyle name="60% - Accent5" xfId="527" xr:uid="{A19DDE4D-A3FC-4142-B280-EB7B83E95CB2}"/>
    <cellStyle name="60% - Accent5 2" xfId="528" xr:uid="{1CDBBB85-238F-4019-8C5E-011601731B5D}"/>
    <cellStyle name="60% - Accent5_Sheet1" xfId="529" xr:uid="{15403613-FBEB-4649-8253-392C23187F45}"/>
    <cellStyle name="60% - Accent6" xfId="530" xr:uid="{818588DF-544B-47C6-9E43-1286E9E4C5BE}"/>
    <cellStyle name="60% - Accent6 2" xfId="531" xr:uid="{4EF34D87-7496-429F-87F2-BA8E23F1ACF9}"/>
    <cellStyle name="60% - Accent6_Sheet1" xfId="532" xr:uid="{5FA90790-89DB-415C-BA75-4032F2E3FE0F}"/>
    <cellStyle name="60% - 輔色1" xfId="533" xr:uid="{D64D3873-A77E-4A62-A859-7AD18ADC2F49}"/>
    <cellStyle name="60% - 輔色2" xfId="534" xr:uid="{EFDB6D74-3332-4ECA-B131-4D26333338CD}"/>
    <cellStyle name="60% - 輔色3" xfId="535" xr:uid="{96731F8E-3C47-4B45-8F45-ABF4487E9CF2}"/>
    <cellStyle name="60% - 輔色4" xfId="536" xr:uid="{A8ADDCE8-4168-4C98-94D2-009E1C826678}"/>
    <cellStyle name="60% - 輔色5" xfId="537" xr:uid="{E93CD15F-C34D-48B9-B693-2177B0954F22}"/>
    <cellStyle name="60% - 輔色6" xfId="538" xr:uid="{FDC924FB-2EC5-4B42-B9F0-405F08A003D4}"/>
    <cellStyle name="60% - 强调文字颜色 1 2" xfId="539" xr:uid="{0DB64007-4D2D-4939-8E01-F0FF8835C6ED}"/>
    <cellStyle name="60% - 强调文字颜色 1 2 2" xfId="540" xr:uid="{75552A42-739F-4A72-850D-623147BD2925}"/>
    <cellStyle name="60% - 强调文字颜色 1 2_Sheet1" xfId="541" xr:uid="{74BD3FC7-CE30-41AE-BDA4-FF911182B3C5}"/>
    <cellStyle name="60% - 强调文字颜色 1 3" xfId="542" xr:uid="{7989EB94-39D9-4C3F-9011-8427EA29E1FD}"/>
    <cellStyle name="60% - 强调文字颜色 1 4" xfId="543" xr:uid="{D9153780-0F7E-4E47-8BBB-CF2BC554A174}"/>
    <cellStyle name="60% - 强调文字颜色 1 5" xfId="544" xr:uid="{0B21A9AE-D6B7-448D-91C0-BC9166C5766F}"/>
    <cellStyle name="60% - 强调文字颜色 1 6" xfId="545" xr:uid="{F684698A-0329-4925-A8FC-C5FE2051F3E1}"/>
    <cellStyle name="60% - 强调文字颜色 1 7" xfId="546" xr:uid="{79529487-9BA8-47BF-99EE-E1983B79B759}"/>
    <cellStyle name="60% - 强调文字颜色 2 2" xfId="547" xr:uid="{EFBD65BB-750B-4581-A435-86B49C69BDBE}"/>
    <cellStyle name="60% - 强调文字颜色 2 2 2" xfId="548" xr:uid="{42CD1F40-B70C-423F-9A0A-E441CE8A5ED0}"/>
    <cellStyle name="60% - 强调文字颜色 2 2_Sheet1" xfId="549" xr:uid="{E6818D57-B513-435B-BE5C-A01D2886BC22}"/>
    <cellStyle name="60% - 强调文字颜色 2 3" xfId="550" xr:uid="{963943F8-7DC0-45D0-B37F-1D76D658EB7D}"/>
    <cellStyle name="60% - 强调文字颜色 2 4" xfId="551" xr:uid="{417B9D62-71D1-49C9-9123-D015160BE620}"/>
    <cellStyle name="60% - 强调文字颜色 2 5" xfId="552" xr:uid="{6C295A00-66AC-4D60-9B6F-ED8B6F52ABA6}"/>
    <cellStyle name="60% - 强调文字颜色 2 6" xfId="553" xr:uid="{934814C2-0240-4A1D-BA13-EA8E65458D86}"/>
    <cellStyle name="60% - 强调文字颜色 2 7" xfId="554" xr:uid="{3125A0C5-AB0E-478D-86D0-8D4705AFB0F7}"/>
    <cellStyle name="60% - 强调文字颜色 3 2" xfId="555" xr:uid="{8D33EE63-F5BE-4693-B185-FE140BD62CAD}"/>
    <cellStyle name="60% - 强调文字颜色 3 2 2" xfId="556" xr:uid="{4AFEEB6F-663B-47C4-8F80-AD10246B3E91}"/>
    <cellStyle name="60% - 强调文字颜色 3 2_Sheet1" xfId="557" xr:uid="{71466330-7037-4616-8AC2-6EEB92B1D8AC}"/>
    <cellStyle name="60% - 强调文字颜色 3 3" xfId="558" xr:uid="{81CBC279-E764-42FD-948E-0A8742C0AC34}"/>
    <cellStyle name="60% - 强调文字颜色 3 4" xfId="559" xr:uid="{8D677EE2-BF2B-48A6-88D0-24C81E871FDD}"/>
    <cellStyle name="60% - 强调文字颜色 3 5" xfId="560" xr:uid="{083CED12-9E01-4396-A5BF-BBA8C558CAD7}"/>
    <cellStyle name="60% - 强调文字颜色 3 6" xfId="561" xr:uid="{3D4162A7-20B1-4F12-9176-DBBC32C56E2E}"/>
    <cellStyle name="60% - 强调文字颜色 3 7" xfId="562" xr:uid="{2CB79595-1529-47D5-908D-790D1DC152A7}"/>
    <cellStyle name="60% - 强调文字颜色 4 2" xfId="563" xr:uid="{85F1DE8D-6EFF-4324-B9CC-7220C37FB0E6}"/>
    <cellStyle name="60% - 强调文字颜色 4 2 2" xfId="564" xr:uid="{31A9667E-20D7-4C12-ACB9-126BD88CFBCE}"/>
    <cellStyle name="60% - 强调文字颜色 4 2_Sheet1" xfId="565" xr:uid="{7860A0D1-73B5-4F7C-8EB5-28C1FE2F253A}"/>
    <cellStyle name="60% - 强调文字颜色 4 3" xfId="566" xr:uid="{C173C3B7-11D9-49CC-9C8C-2623E5F9C00D}"/>
    <cellStyle name="60% - 强调文字颜色 4 4" xfId="567" xr:uid="{B2C85312-1004-451B-BB7B-9918C573FEA2}"/>
    <cellStyle name="60% - 强调文字颜色 4 5" xfId="568" xr:uid="{7426F430-FC0E-4CE0-BD91-9E3E6805EB89}"/>
    <cellStyle name="60% - 强调文字颜色 4 6" xfId="569" xr:uid="{87EF7B0D-2EE1-4386-A6C9-D6AB81D376BC}"/>
    <cellStyle name="60% - 强调文字颜色 4 7" xfId="570" xr:uid="{D4818009-9FB3-481C-A160-B229A7F345A6}"/>
    <cellStyle name="60% - 强调文字颜色 5 2" xfId="571" xr:uid="{615DFF66-1832-4098-A870-08A08C8DFC4C}"/>
    <cellStyle name="60% - 强调文字颜色 5 2 2" xfId="572" xr:uid="{C80593C8-F2D1-4D1F-A1EA-63007A02FEFA}"/>
    <cellStyle name="60% - 强调文字颜色 5 2_Sheet1" xfId="573" xr:uid="{9693BB83-7398-4DB3-9E7C-67007CF060FF}"/>
    <cellStyle name="60% - 强调文字颜色 5 3" xfId="574" xr:uid="{D185A8F2-806F-4572-9BD8-D4DB363563DD}"/>
    <cellStyle name="60% - 强调文字颜色 5 4" xfId="575" xr:uid="{E491645C-94B5-4E9E-8DE2-A6F40BB8D776}"/>
    <cellStyle name="60% - 强调文字颜色 5 5" xfId="576" xr:uid="{FCA5BF8B-1019-49B8-B3D5-D88744C586AE}"/>
    <cellStyle name="60% - 强调文字颜色 5 6" xfId="577" xr:uid="{DFC7BC38-06D9-426A-ADB3-71D7B2A89B80}"/>
    <cellStyle name="60% - 强调文字颜色 5 7" xfId="578" xr:uid="{A1594596-39C5-4217-89D8-BAE623ECC108}"/>
    <cellStyle name="60% - 强调文字颜色 6 2" xfId="579" xr:uid="{89650E50-C9B5-4728-B9E8-B2847D8F1C1E}"/>
    <cellStyle name="60% - 强调文字颜色 6 2 2" xfId="580" xr:uid="{68EAD75D-516A-4105-8C92-D948969D3D0E}"/>
    <cellStyle name="60% - 强调文字颜色 6 2_Sheet1" xfId="581" xr:uid="{59C91374-F4C2-4F30-8318-25FBD317728E}"/>
    <cellStyle name="60% - 强调文字颜色 6 3" xfId="582" xr:uid="{0439AD64-ECD7-407B-8C5C-17817407D1EE}"/>
    <cellStyle name="60% - 强调文字颜色 6 4" xfId="583" xr:uid="{12FDE66E-ADA7-4AA0-B580-CFF6C74C58DB}"/>
    <cellStyle name="60% - 强调文字颜色 6 5" xfId="584" xr:uid="{064F65F4-8D05-4948-9D7E-3436F1E62FDC}"/>
    <cellStyle name="60% - 强调文字颜色 6 6" xfId="585" xr:uid="{5AFB43E7-D5D8-4992-B045-7565176E5253}"/>
    <cellStyle name="60% - 强调文字颜色 6 7" xfId="586" xr:uid="{4684FB33-5240-4205-A341-79FEAFC81903}"/>
    <cellStyle name="6mal" xfId="587" xr:uid="{72CC8A6E-EC23-4568-8A2A-740D1F2BAF75}"/>
    <cellStyle name="9" xfId="588" xr:uid="{64F8D975-9EA6-473D-86B8-A1C3111698E5}"/>
    <cellStyle name="Accent1" xfId="589" xr:uid="{5BBD9AC1-C389-413B-9F9F-860B731B9AAC}"/>
    <cellStyle name="Accent1 - 20%" xfId="590" xr:uid="{7E84A03B-BD69-4321-9BB0-C939313100B3}"/>
    <cellStyle name="Accent1 - 20% 2" xfId="591" xr:uid="{65F88908-0444-4DB2-8A56-3ECD6901E2F8}"/>
    <cellStyle name="Accent1 - 20% 3" xfId="592" xr:uid="{C115A6D7-0080-4F03-BDBF-17904F9F211C}"/>
    <cellStyle name="Accent1 - 20% 4" xfId="593" xr:uid="{E8BD724C-D4B3-4A10-BAA8-B19ECBF65989}"/>
    <cellStyle name="Accent1 - 20%_Sheet1" xfId="594" xr:uid="{3F21DABC-3468-430E-99F1-9CDAC48BDE26}"/>
    <cellStyle name="Accent1 - 40%" xfId="595" xr:uid="{0AD4153C-4A21-40B1-91CD-D0EC98A87EC6}"/>
    <cellStyle name="Accent1 - 40% 2" xfId="596" xr:uid="{3D7BAA68-4186-4D35-8789-C3F19F9B605D}"/>
    <cellStyle name="Accent1 - 40% 3" xfId="597" xr:uid="{5D382EF1-E0B3-440E-B557-EAD929681CF2}"/>
    <cellStyle name="Accent1 - 40% 4" xfId="598" xr:uid="{A4B5C647-939E-4743-94CB-9C156427DD66}"/>
    <cellStyle name="Accent1 - 40%_Sheet1" xfId="599" xr:uid="{93008DED-47DE-4DE8-A411-59448529FE8D}"/>
    <cellStyle name="Accent1 - 60%" xfId="600" xr:uid="{72D02553-8C61-4C93-9641-0575B14B322C}"/>
    <cellStyle name="Accent1 - 60% 2" xfId="601" xr:uid="{E73BE141-7C8E-47CB-AEE2-1354343B5192}"/>
    <cellStyle name="Accent1 - 60% 3" xfId="602" xr:uid="{8EEFC490-A151-41FC-A912-1B1FB7F14F6F}"/>
    <cellStyle name="Accent1 - 60% 4" xfId="603" xr:uid="{35AF5707-7C01-4952-AFA2-3D1227435F08}"/>
    <cellStyle name="Accent1 - 60%_Sheet1" xfId="604" xr:uid="{D256F0CE-49DC-4425-8D15-0C2532CBA9FD}"/>
    <cellStyle name="Accent1 10" xfId="605" xr:uid="{545C606C-4138-489B-9EB9-9FB2B3BDB335}"/>
    <cellStyle name="Accent1 11" xfId="606" xr:uid="{CB42084C-D566-4585-A927-E78D7F88FC7A}"/>
    <cellStyle name="Accent1 12" xfId="607" xr:uid="{A523D789-556B-4659-B96D-EF55DE2FFA6F}"/>
    <cellStyle name="Accent1 13" xfId="608" xr:uid="{FE911F44-80E4-489A-9192-8924D8F45B6A}"/>
    <cellStyle name="Accent1 2" xfId="609" xr:uid="{445D1329-9FBF-4976-8CE2-FF2A04C54633}"/>
    <cellStyle name="Accent1 3" xfId="610" xr:uid="{DC1FE0AE-7E9E-4371-AECB-44E0DABA59BE}"/>
    <cellStyle name="Accent1 4" xfId="611" xr:uid="{B03C06A6-15D0-4A92-9239-F2BE5AD50294}"/>
    <cellStyle name="Accent1 5" xfId="612" xr:uid="{EDEB5557-6F87-4DE7-B4BE-069242C3EC5F}"/>
    <cellStyle name="Accent1 6" xfId="613" xr:uid="{19C4ACF6-4734-4068-9359-0D6A357DE64E}"/>
    <cellStyle name="Accent1 7" xfId="614" xr:uid="{51212502-880C-4256-BD96-F66287B2276B}"/>
    <cellStyle name="Accent1 8" xfId="615" xr:uid="{2257C883-BBEE-48F6-8D15-69CB3BEDAF8D}"/>
    <cellStyle name="Accent1 9" xfId="616" xr:uid="{F6450B3B-7373-4D78-B8E9-3AA8C524B06E}"/>
    <cellStyle name="Accent1_Sheet1" xfId="617" xr:uid="{6BF807D5-D9E6-49D9-BD24-DB848252201D}"/>
    <cellStyle name="Accent2" xfId="618" xr:uid="{E3A6E572-A5EE-4952-AB7A-9A9CF866A1D1}"/>
    <cellStyle name="Accent2 - 20%" xfId="619" xr:uid="{7B256FF9-48CF-46E4-8127-D8D4D764E3AA}"/>
    <cellStyle name="Accent2 - 20% 2" xfId="620" xr:uid="{09953B73-A518-41D0-9BA9-F6CD682AB58B}"/>
    <cellStyle name="Accent2 - 20% 3" xfId="621" xr:uid="{18A6B7AC-DBFF-42CC-9D93-094740559390}"/>
    <cellStyle name="Accent2 - 20% 4" xfId="622" xr:uid="{965DD3A1-5756-4239-BE43-D96558D2C77B}"/>
    <cellStyle name="Accent2 - 20%_Sheet1" xfId="623" xr:uid="{89A800A7-17B8-46B3-AA15-7FEBF5B0135D}"/>
    <cellStyle name="Accent2 - 40%" xfId="624" xr:uid="{87CEA53A-FD2F-4BDA-8152-2B4C12626522}"/>
    <cellStyle name="Accent2 - 40% 2" xfId="625" xr:uid="{1F891C6A-ED33-41EA-91E9-ECBC97B497F5}"/>
    <cellStyle name="Accent2 - 40% 3" xfId="626" xr:uid="{AA4F27D1-DE10-4628-8B0D-34DDD678C840}"/>
    <cellStyle name="Accent2 - 40% 4" xfId="627" xr:uid="{DD134140-FCA4-4112-B2FC-1E5C4B5897B3}"/>
    <cellStyle name="Accent2 - 40%_Sheet1" xfId="628" xr:uid="{A9BD1473-B0FA-4096-9062-044F0DA301D7}"/>
    <cellStyle name="Accent2 - 60%" xfId="629" xr:uid="{4C712230-F71F-45AA-8F26-EAD51CCBB1CA}"/>
    <cellStyle name="Accent2 - 60% 2" xfId="630" xr:uid="{37C3DDCB-A21C-4512-94F0-04765659B11C}"/>
    <cellStyle name="Accent2 - 60% 3" xfId="631" xr:uid="{8B4CFB51-F7F5-4C11-8DCD-60791E330724}"/>
    <cellStyle name="Accent2 - 60% 4" xfId="632" xr:uid="{D9099C71-3F97-4BAD-8A49-C2468CB5593E}"/>
    <cellStyle name="Accent2 - 60%_Sheet1" xfId="633" xr:uid="{10774BEC-3C10-4FD1-9EFD-DEC71670D60F}"/>
    <cellStyle name="Accent2 10" xfId="634" xr:uid="{468244A3-9087-409B-A19E-DBC308D3FA97}"/>
    <cellStyle name="Accent2 11" xfId="635" xr:uid="{A8285799-14B9-479F-8DBA-59B5E0DD9969}"/>
    <cellStyle name="Accent2 12" xfId="636" xr:uid="{F0BC7ADD-33B3-40F4-9950-2F5131DA5A58}"/>
    <cellStyle name="Accent2 13" xfId="637" xr:uid="{F9A09E45-2AD3-43F6-BB06-F1233288328B}"/>
    <cellStyle name="Accent2 2" xfId="638" xr:uid="{A47FC43E-2BE8-4379-B105-A22E65A79106}"/>
    <cellStyle name="Accent2 3" xfId="639" xr:uid="{962F98AB-6C9A-4D20-9300-40EDEF34F608}"/>
    <cellStyle name="Accent2 4" xfId="640" xr:uid="{4A427A5F-8DE7-4F4F-BFBA-AA164EE22D29}"/>
    <cellStyle name="Accent2 5" xfId="641" xr:uid="{FD7FE378-8DB5-4830-ADA8-6425581A85FA}"/>
    <cellStyle name="Accent2 6" xfId="642" xr:uid="{72C3E58C-E650-4B4F-B1EA-9E2311465BDE}"/>
    <cellStyle name="Accent2 7" xfId="643" xr:uid="{E7BA5E67-21CC-41C0-9336-6A77E09667F0}"/>
    <cellStyle name="Accent2 8" xfId="644" xr:uid="{064A36FB-0CB6-4BF1-913D-14E9A3D44EE7}"/>
    <cellStyle name="Accent2 9" xfId="645" xr:uid="{937D22A0-BC04-4476-B71F-8F058913AB20}"/>
    <cellStyle name="Accent2_Sheet1" xfId="646" xr:uid="{ABFB9597-E582-47F6-9653-F59048FB41C4}"/>
    <cellStyle name="Accent3" xfId="647" xr:uid="{0C5C5EF8-1042-41F7-8ECB-8C054E349C99}"/>
    <cellStyle name="Accent3 - 20%" xfId="648" xr:uid="{5ED997DB-CEA9-4F4C-8313-A60C9F3E0783}"/>
    <cellStyle name="Accent3 - 20% 2" xfId="649" xr:uid="{0FBCB4A4-37FC-45C9-86CF-7400A13E90F6}"/>
    <cellStyle name="Accent3 - 20% 3" xfId="650" xr:uid="{9A4D9693-C9FD-421E-A740-80B4CFB43279}"/>
    <cellStyle name="Accent3 - 20% 4" xfId="651" xr:uid="{312274FD-40FE-4808-BEAD-93767B4638B4}"/>
    <cellStyle name="Accent3 - 20%_Sheet1" xfId="652" xr:uid="{50683D90-179E-4AF2-AC8A-8B359B5A9734}"/>
    <cellStyle name="Accent3 - 40%" xfId="653" xr:uid="{36AF399B-06BB-430F-8DB3-1F0C68B36B94}"/>
    <cellStyle name="Accent3 - 40% 2" xfId="654" xr:uid="{DAE03724-2F78-45CA-B978-FC06102FA0E8}"/>
    <cellStyle name="Accent3 - 40% 3" xfId="655" xr:uid="{5DF5A931-80BC-4DAE-A7A3-9A49647E2135}"/>
    <cellStyle name="Accent3 - 40% 4" xfId="656" xr:uid="{E188F283-97B3-4EF7-9F19-16A26CD12C47}"/>
    <cellStyle name="Accent3 - 40%_Sheet1" xfId="657" xr:uid="{C121D933-614B-4BA9-B3A4-56A617DA1DDC}"/>
    <cellStyle name="Accent3 - 60%" xfId="658" xr:uid="{E4189825-C0C9-4038-8BCD-A46F877A9218}"/>
    <cellStyle name="Accent3 - 60% 2" xfId="659" xr:uid="{D48F3D32-6E15-4926-ADAA-56AFFB86DA74}"/>
    <cellStyle name="Accent3 - 60% 3" xfId="660" xr:uid="{E259DC2E-83E1-4635-A9C7-58AA0904C508}"/>
    <cellStyle name="Accent3 - 60% 4" xfId="661" xr:uid="{CC3414F1-80AD-4EBE-92AD-2E90486D7B5E}"/>
    <cellStyle name="Accent3 - 60%_Sheet1" xfId="662" xr:uid="{98F04B44-2652-4767-84D1-51C18CF17900}"/>
    <cellStyle name="Accent3 10" xfId="663" xr:uid="{AA8A2A3B-0883-4B4F-BBD2-867A46ADCFCD}"/>
    <cellStyle name="Accent3 11" xfId="664" xr:uid="{B175D125-5DCD-4F20-85B9-01095A80CA94}"/>
    <cellStyle name="Accent3 12" xfId="665" xr:uid="{78969DCC-4F0C-4830-82E3-25438624BC55}"/>
    <cellStyle name="Accent3 13" xfId="666" xr:uid="{8D41669E-B54F-4EE6-ADB6-F1AE19CDEE2D}"/>
    <cellStyle name="Accent3 2" xfId="667" xr:uid="{825A1F69-FAE0-450A-9D22-1BAD720D4AFA}"/>
    <cellStyle name="Accent3 3" xfId="668" xr:uid="{D4695C0E-8224-444A-BED2-34C859E0F74D}"/>
    <cellStyle name="Accent3 4" xfId="669" xr:uid="{80216EF9-BE0A-4AAA-84F8-ABA9048DF3FC}"/>
    <cellStyle name="Accent3 5" xfId="670" xr:uid="{D0918EBA-2B4D-4992-97A8-124515A6816B}"/>
    <cellStyle name="Accent3 6" xfId="671" xr:uid="{DF5F85E1-0823-4558-8C76-DC2AEDE3DB65}"/>
    <cellStyle name="Accent3 7" xfId="672" xr:uid="{5B7DB901-F1B0-4EF5-BB7F-DCE69A5E3167}"/>
    <cellStyle name="Accent3 8" xfId="673" xr:uid="{C8F32A2C-4541-4271-BC81-3716AFC281B7}"/>
    <cellStyle name="Accent3 9" xfId="674" xr:uid="{349ACAF1-80A2-44A0-AA15-BA1A1F2F1A5E}"/>
    <cellStyle name="Accent3_Sheet1" xfId="675" xr:uid="{3FB5DB4E-50B1-4BFE-8C2B-770EB8E2AFAC}"/>
    <cellStyle name="Accent4" xfId="676" xr:uid="{D10D96F8-86BD-490D-9E48-265B456C6012}"/>
    <cellStyle name="Accent4 - 20%" xfId="677" xr:uid="{51076C51-15A5-445C-944A-6C1849F39ABB}"/>
    <cellStyle name="Accent4 - 20% 2" xfId="678" xr:uid="{3C479788-8439-4019-9E8C-239123950838}"/>
    <cellStyle name="Accent4 - 20% 3" xfId="679" xr:uid="{FB25188B-5BD2-48CA-B77D-565C5726A9AF}"/>
    <cellStyle name="Accent4 - 20% 4" xfId="680" xr:uid="{F185B834-3C55-41D2-A81A-E9E790AE32CE}"/>
    <cellStyle name="Accent4 - 20%_Sheet1" xfId="681" xr:uid="{55B3AAAD-62C5-4E0F-A3BD-E2D25E63CE24}"/>
    <cellStyle name="Accent4 - 40%" xfId="682" xr:uid="{AFBF9BE4-2ECF-4FFF-938F-66B35CC1C9F5}"/>
    <cellStyle name="Accent4 - 40% 2" xfId="683" xr:uid="{A81F70DF-E268-4A97-BEB9-13579B8A7D71}"/>
    <cellStyle name="Accent4 - 40% 3" xfId="684" xr:uid="{42485858-A0B7-4F6A-A522-349BE7486C48}"/>
    <cellStyle name="Accent4 - 40% 4" xfId="685" xr:uid="{78A82DDD-8763-483C-915C-512A1100EAC8}"/>
    <cellStyle name="Accent4 - 40%_Sheet1" xfId="686" xr:uid="{122598B4-7B66-4E9F-A81A-D0FE9E264B2D}"/>
    <cellStyle name="Accent4 - 60%" xfId="687" xr:uid="{F58B3C33-FB02-49D6-BF77-5C8EA9299AA8}"/>
    <cellStyle name="Accent4 - 60% 2" xfId="688" xr:uid="{5B7E5EC6-0A90-467C-AF79-C0E0A2ABD37D}"/>
    <cellStyle name="Accent4 - 60% 3" xfId="689" xr:uid="{9756105E-FC8C-4201-B204-2C1443D92E6B}"/>
    <cellStyle name="Accent4 - 60% 4" xfId="690" xr:uid="{035FA33F-CF65-498D-83B9-1E15D493E95C}"/>
    <cellStyle name="Accent4 - 60%_Sheet1" xfId="691" xr:uid="{AF82A091-D0EA-4ABC-9DE9-4D9CB26FBD4E}"/>
    <cellStyle name="Accent4 10" xfId="692" xr:uid="{7C678EDA-B11D-4735-AA96-1F2CDE53644E}"/>
    <cellStyle name="Accent4 11" xfId="693" xr:uid="{CB367C11-37FD-4448-B725-10A73C316331}"/>
    <cellStyle name="Accent4 12" xfId="694" xr:uid="{5E5FA45D-81D7-48A5-BA3E-848710C389FE}"/>
    <cellStyle name="Accent4 13" xfId="695" xr:uid="{376D2E6C-CB53-4C02-89DD-40BE7FB5072A}"/>
    <cellStyle name="Accent4 2" xfId="696" xr:uid="{E17F56DA-D175-40DE-BE50-1E22F0E3F4D5}"/>
    <cellStyle name="Accent4 3" xfId="697" xr:uid="{87B5559D-31EB-4B54-9C0C-227C3BECC8CB}"/>
    <cellStyle name="Accent4 4" xfId="698" xr:uid="{EE583937-070D-4004-A7B0-689AA127B675}"/>
    <cellStyle name="Accent4 5" xfId="699" xr:uid="{AF8EE325-CA44-4568-93E0-35952E89E76A}"/>
    <cellStyle name="Accent4 6" xfId="700" xr:uid="{92E73DD2-58B9-4BB5-84BD-1D625958D847}"/>
    <cellStyle name="Accent4 7" xfId="701" xr:uid="{E717505B-8804-4010-82B0-0483BEFC66ED}"/>
    <cellStyle name="Accent4 8" xfId="702" xr:uid="{D18B692A-00E8-4EA9-A4C6-7FFE68CF34A0}"/>
    <cellStyle name="Accent4 9" xfId="703" xr:uid="{C035B039-2CA4-4448-8E9E-6BF3C4519EB9}"/>
    <cellStyle name="Accent4_Sheet1" xfId="704" xr:uid="{51B52709-741E-4EB8-8001-CCF4B65984B7}"/>
    <cellStyle name="Accent5" xfId="705" xr:uid="{BD373160-C79F-4C08-9769-EBD9CAF19630}"/>
    <cellStyle name="Accent5 - 20%" xfId="706" xr:uid="{0B5C6698-5DC9-4522-B2C8-97D93E6C56F3}"/>
    <cellStyle name="Accent5 - 20% 2" xfId="707" xr:uid="{D1193813-5721-4B4E-98A6-DF76A5096FFC}"/>
    <cellStyle name="Accent5 - 20% 3" xfId="708" xr:uid="{8DF54AA4-4B15-4A1D-89FC-9F533C441910}"/>
    <cellStyle name="Accent5 - 20% 4" xfId="709" xr:uid="{968F86A2-4AFB-47E7-ABE2-1E2E2BF3BA78}"/>
    <cellStyle name="Accent5 - 20%_Sheet1" xfId="710" xr:uid="{4210A01B-BAE5-44D5-AEE2-70BFAA89137B}"/>
    <cellStyle name="Accent5 - 40%" xfId="711" xr:uid="{D7E94F09-06F9-4BFC-9599-F0A609D25BCB}"/>
    <cellStyle name="Accent5 - 40% 2" xfId="712" xr:uid="{9C7DD741-31C5-4BBE-B8A6-AF3A35828412}"/>
    <cellStyle name="Accent5 - 40% 3" xfId="713" xr:uid="{F6A8F311-9CFA-4D80-BFA6-D2439A7ABD0C}"/>
    <cellStyle name="Accent5 - 40% 4" xfId="714" xr:uid="{F52A6184-727C-4506-AE95-CC8FC4BC3AA6}"/>
    <cellStyle name="Accent5 - 40%_Sheet1" xfId="715" xr:uid="{BA88914E-661F-4AC8-8B21-0000E9C4142F}"/>
    <cellStyle name="Accent5 - 60%" xfId="716" xr:uid="{9A96709B-EC3E-4EFC-B380-7C9B3A4F5D04}"/>
    <cellStyle name="Accent5 - 60% 2" xfId="717" xr:uid="{CDC0FEB0-A632-4D5E-9B70-47B7639EBFE3}"/>
    <cellStyle name="Accent5 - 60% 3" xfId="718" xr:uid="{291AFDDD-543E-4FB8-831E-D9BF089AE2CB}"/>
    <cellStyle name="Accent5 - 60% 4" xfId="719" xr:uid="{3ACE805A-8939-47F2-960F-4946470F75CD}"/>
    <cellStyle name="Accent5 - 60%_Sheet1" xfId="720" xr:uid="{477BF782-CD4A-4F81-BD45-85D66ABCB7E8}"/>
    <cellStyle name="Accent5 10" xfId="721" xr:uid="{EE753433-DAD0-49B3-880C-1D00E93780CF}"/>
    <cellStyle name="Accent5 11" xfId="722" xr:uid="{4CD47F74-D1F8-43B2-AB32-C7226AFC6EFC}"/>
    <cellStyle name="Accent5 12" xfId="723" xr:uid="{6374E750-3798-47FA-A267-B01A2CB7BDCE}"/>
    <cellStyle name="Accent5 13" xfId="724" xr:uid="{388C54DE-FE78-4E19-BCA6-32B1C2936BB8}"/>
    <cellStyle name="Accent5 2" xfId="725" xr:uid="{6182F9D6-1BAE-4A89-AC50-93CB59F9215A}"/>
    <cellStyle name="Accent5 3" xfId="726" xr:uid="{88522BAC-9A04-4BF8-A7D2-25C816FB65F1}"/>
    <cellStyle name="Accent5 4" xfId="727" xr:uid="{4C357E32-CFD8-4774-94F3-3ACBB8DCE5A2}"/>
    <cellStyle name="Accent5 5" xfId="728" xr:uid="{D43A19F3-8315-42E4-9831-D9947585FA09}"/>
    <cellStyle name="Accent5 6" xfId="729" xr:uid="{7A2DE9E4-A764-45BB-A1EC-8EE626913B76}"/>
    <cellStyle name="Accent5 7" xfId="730" xr:uid="{1045B974-DB01-433D-9EA6-8569BE378C58}"/>
    <cellStyle name="Accent5 8" xfId="731" xr:uid="{A8DECD28-D479-4CFE-94C7-D21E0CED5BA0}"/>
    <cellStyle name="Accent5 9" xfId="732" xr:uid="{E150640E-B1B2-4929-8A5B-016CE8ECFC55}"/>
    <cellStyle name="Accent5_Sheet1" xfId="733" xr:uid="{93BADBB6-B3CD-4EF9-87A8-84BB508BD248}"/>
    <cellStyle name="Accent6" xfId="734" xr:uid="{87AAE324-F921-4E05-9253-3125FE2B0778}"/>
    <cellStyle name="Accent6 - 20%" xfId="735" xr:uid="{A4164745-8B4D-414D-8428-153598FF761E}"/>
    <cellStyle name="Accent6 - 20% 2" xfId="736" xr:uid="{A7169F84-43FF-4E0E-95D3-AEE54B26C1BE}"/>
    <cellStyle name="Accent6 - 20% 3" xfId="737" xr:uid="{3F618EDF-D58E-4C9B-B6BB-DEF876602553}"/>
    <cellStyle name="Accent6 - 20% 4" xfId="738" xr:uid="{ED211FAE-1A85-4E16-98D1-BC2D6A682B03}"/>
    <cellStyle name="Accent6 - 20%_Sheet1" xfId="739" xr:uid="{545AEDCD-50D3-4068-925A-0F0CF20042BB}"/>
    <cellStyle name="Accent6 - 40%" xfId="740" xr:uid="{42AFEA99-8584-4B9C-BB2F-CFD8A3879F99}"/>
    <cellStyle name="Accent6 - 40% 2" xfId="741" xr:uid="{9B4784A8-33FC-458B-9637-BE0E0B061AE8}"/>
    <cellStyle name="Accent6 - 40% 3" xfId="742" xr:uid="{B8D854F7-5457-4E38-8885-3259C067A011}"/>
    <cellStyle name="Accent6 - 40% 4" xfId="743" xr:uid="{05B6D2A9-6B50-47CA-A31F-7AB1231501C6}"/>
    <cellStyle name="Accent6 - 40%_Sheet1" xfId="744" xr:uid="{17F68B26-44C5-4B4D-9A2D-E5E147B52CB4}"/>
    <cellStyle name="Accent6 - 60%" xfId="745" xr:uid="{D61967B0-39C9-4C95-B743-6978B3DDBD4B}"/>
    <cellStyle name="Accent6 - 60% 2" xfId="746" xr:uid="{2CD37437-4689-4A65-89B0-B7613F82A31A}"/>
    <cellStyle name="Accent6 - 60% 3" xfId="747" xr:uid="{99257446-992B-47B8-89C6-CB77356EE8BC}"/>
    <cellStyle name="Accent6 - 60% 4" xfId="748" xr:uid="{CD4C5B04-A562-4742-BDFA-9DCC911C0389}"/>
    <cellStyle name="Accent6 - 60%_Sheet1" xfId="749" xr:uid="{EECCB498-B14E-4D84-B8B8-562E4D28293A}"/>
    <cellStyle name="Accent6 10" xfId="750" xr:uid="{EBE1E41F-F537-4045-B9AE-9DA2808FB9D4}"/>
    <cellStyle name="Accent6 11" xfId="751" xr:uid="{DEA97542-A2B4-46B5-879B-24F8DAABBD14}"/>
    <cellStyle name="Accent6 12" xfId="752" xr:uid="{8FFBDF06-76BB-49B5-90F8-0D05E238BB98}"/>
    <cellStyle name="Accent6 13" xfId="753" xr:uid="{547FBCCF-AEDE-4AEE-AF4F-5D36035AC677}"/>
    <cellStyle name="Accent6 2" xfId="754" xr:uid="{D4F53692-A28D-4557-8BB1-774BA20A286C}"/>
    <cellStyle name="Accent6 3" xfId="755" xr:uid="{CF1FDC75-D577-4735-9F5D-1E6A791966CE}"/>
    <cellStyle name="Accent6 4" xfId="756" xr:uid="{A34A64FC-0CE5-4841-BDF3-B1D14C441A9E}"/>
    <cellStyle name="Accent6 5" xfId="757" xr:uid="{5F97B69E-3A8B-401C-A6D8-F249E4C37B3B}"/>
    <cellStyle name="Accent6 6" xfId="758" xr:uid="{D1985DE4-224A-449E-91A4-02D80C35259F}"/>
    <cellStyle name="Accent6 7" xfId="759" xr:uid="{21188F32-D00F-4417-A6E6-E8DA3D4B5CF8}"/>
    <cellStyle name="Accent6 8" xfId="760" xr:uid="{0F8722D3-17E2-4F26-A7CE-2EE902A594DD}"/>
    <cellStyle name="Accent6 9" xfId="761" xr:uid="{C9586673-D666-4DB6-8083-8F026F4E6036}"/>
    <cellStyle name="Accent6_Sheet1" xfId="762" xr:uid="{DB17318B-D467-4C62-8B00-DF939F99D27B}"/>
    <cellStyle name="args.style" xfId="763" xr:uid="{89AAFD50-1F78-4127-A6D8-1F22F78EAE5B}"/>
    <cellStyle name="Arial" xfId="764" xr:uid="{A0FB3D40-739E-4BD4-ADBA-0674D4A6D035}"/>
    <cellStyle name="ata Sources]_x000d__x000a_MS Access Databases=Access Data (*.mdb)_x000d__x000a_FoxPro Files=" xfId="765" xr:uid="{8A18F7A8-7CFF-42ED-B20F-A4FEF1FAD7B5}"/>
    <cellStyle name="ata Sources]_x000d__x000a_NWind=dBase Files (*.dbf)_x000d__x000a_MS Access 2.0 Databases=Acc" xfId="766" xr:uid="{3B97C450-76CE-4EB7-B15A-2E47B1E24F16}"/>
    <cellStyle name="AutoFormat-Optionen" xfId="767" xr:uid="{42977327-6C6C-4174-8DBD-6DA602ECF236}"/>
    <cellStyle name="b" xfId="768" xr:uid="{0C34A8F2-4743-4326-9FE4-7A8D1F3F1096}"/>
    <cellStyle name="Bad" xfId="769" xr:uid="{FD1D6788-4B71-4FA7-956C-E70F2A41B681}"/>
    <cellStyle name="Bad 2" xfId="770" xr:uid="{F94E0B0A-776E-4D31-A242-80EA682755DD}"/>
    <cellStyle name="Bad_Sheet1" xfId="771" xr:uid="{AEB50CA6-EDC5-486A-A5CD-856275993AE8}"/>
    <cellStyle name="bl" xfId="772" xr:uid="{F93B2F19-A58C-4F90-BF1A-EA692F4B677A}"/>
    <cellStyle name="Black" xfId="773" xr:uid="{DFEBEC09-E86B-4905-A089-519693FDA2E0}"/>
    <cellStyle name="Blue" xfId="774" xr:uid="{88EF9B17-CEAD-487E-BDA7-A8B9A293ECA3}"/>
    <cellStyle name="Bold 11" xfId="775" xr:uid="{49CD7643-1838-48B9-9959-8ADBC5548349}"/>
    <cellStyle name="Bold/Border" xfId="776" xr:uid="{480E1275-CB5B-4E9C-BA03-5D1009D24A04}"/>
    <cellStyle name="Border" xfId="777" xr:uid="{C41B50F8-A261-4E93-A547-CBD3B37D2BF9}"/>
    <cellStyle name="Brand Default" xfId="778" xr:uid="{F35C02D5-041E-4275-AC49-C0F4DD1A7568}"/>
    <cellStyle name="Brand Subtitle with Underline" xfId="779" xr:uid="{0C7CC9CF-475F-4DBC-9105-E5A6609C660E}"/>
    <cellStyle name="Bullet" xfId="780" xr:uid="{59BFAFE2-F091-455D-BBCB-0A76EB6E1048}"/>
    <cellStyle name="c" xfId="781" xr:uid="{605ADF47-8156-418D-8AB0-EF54281C81E1}"/>
    <cellStyle name="c_1028ERP明细估值(DCF)尽职调查表(金嗓子)" xfId="782" xr:uid="{45E374C8-A50C-4045-A315-EA7DD0C39B94}"/>
    <cellStyle name="c_EVP3.01" xfId="783" xr:uid="{BAC93970-8928-418C-8B9C-872E4F67838E}"/>
    <cellStyle name="c_GB MODEL 082803 V1" xfId="784" xr:uid="{C77064B2-39E0-48C5-80D1-42D3894F7BB0}"/>
    <cellStyle name="c_GB MODEL 083103 PRC  V3 w product mix change" xfId="785" xr:uid="{D1565038-AEBA-49EC-B3C7-7CD6DF535099}"/>
    <cellStyle name="c_GB model V5.2 0914" xfId="786" xr:uid="{6A006D62-74CB-42C7-AE47-ED8CE2963412}"/>
    <cellStyle name="c_GB model V7 0914" xfId="787" xr:uid="{91F83B3D-81D6-449D-B7BC-C50D1F00854B}"/>
    <cellStyle name="c_GB model V7 0921" xfId="788" xr:uid="{B9F7C313-6115-459A-A681-B8DF4B3528FA}"/>
    <cellStyle name="c_铝厂" xfId="789" xr:uid="{C13583B1-F571-46F9-874A-CE47CB957591}"/>
    <cellStyle name="c_铝厂现金流1122B" xfId="790" xr:uid="{16F562DA-107A-4143-8D54-33C24A3F715D}"/>
    <cellStyle name="c_铝厂现金流1125" xfId="791" xr:uid="{BE8A387E-40A3-48A4-9AF1-47476A95A24B}"/>
    <cellStyle name="c_现金流" xfId="792" xr:uid="{C3EB481A-C94D-482E-BB56-D47D95ADA3E4}"/>
    <cellStyle name="Calc Currency (0)" xfId="793" xr:uid="{B2312694-41C9-432B-AFA0-D6ABEFAF8F3E}"/>
    <cellStyle name="Calc Currency (0) 10" xfId="794" xr:uid="{00B55156-122F-430A-B133-3F74C423BD55}"/>
    <cellStyle name="Calc Currency (0) 11" xfId="795" xr:uid="{11418BE7-5D04-4CC8-BB53-0960D8987F5B}"/>
    <cellStyle name="Calc Currency (0) 12" xfId="796" xr:uid="{5F349F32-E0ED-485A-8BF2-9644805389E2}"/>
    <cellStyle name="Calc Currency (0) 13" xfId="797" xr:uid="{02006B69-E344-45AD-9689-0475A82A06CF}"/>
    <cellStyle name="Calc Currency (0) 14" xfId="798" xr:uid="{CD187682-5734-4DA0-A4D1-E31E20EC3747}"/>
    <cellStyle name="Calc Currency (0) 15" xfId="799" xr:uid="{5D0C3390-0097-4E53-BAC3-9A5310C1C30A}"/>
    <cellStyle name="Calc Currency (0) 16" xfId="800" xr:uid="{DCAD8873-73FA-400C-82EE-AE8F6D7FC9CA}"/>
    <cellStyle name="Calc Currency (0) 17" xfId="801" xr:uid="{6E1E7D62-96FC-4260-9FE4-34025A179F0F}"/>
    <cellStyle name="Calc Currency (0) 18" xfId="802" xr:uid="{FA0B7F97-8DD6-4AA1-89B4-404843EA07D3}"/>
    <cellStyle name="Calc Currency (0) 19" xfId="803" xr:uid="{6B78E12D-9FFF-4A18-839D-822A06FD7CF9}"/>
    <cellStyle name="Calc Currency (0) 2" xfId="804" xr:uid="{D8C38146-357E-415F-B930-2978067B1841}"/>
    <cellStyle name="Calc Currency (0) 2 2" xfId="805" xr:uid="{71E58E9F-0463-49E9-9AEC-F8BE6C26C04A}"/>
    <cellStyle name="Calc Currency (0) 2_Sheet1" xfId="806" xr:uid="{2EECF72B-9CF7-46BC-BB09-AB896375FCEF}"/>
    <cellStyle name="Calc Currency (0) 20" xfId="807" xr:uid="{0CBDAAF1-F13B-4C27-BAE8-B347FDF0C9F2}"/>
    <cellStyle name="Calc Currency (0) 21" xfId="808" xr:uid="{504A20CC-63D7-4726-B50C-B920ED6DD415}"/>
    <cellStyle name="Calc Currency (0) 22" xfId="809" xr:uid="{719FD417-0761-497C-A714-4BB075033AD2}"/>
    <cellStyle name="Calc Currency (0) 23" xfId="810" xr:uid="{0C555B9C-9519-44F4-8987-A3751B19EA71}"/>
    <cellStyle name="Calc Currency (0) 24" xfId="811" xr:uid="{5385D652-C0B7-499E-B1DC-BB96FC7B40CE}"/>
    <cellStyle name="Calc Currency (0) 25" xfId="812" xr:uid="{22973807-C98B-40C0-B48C-302CCAC888F5}"/>
    <cellStyle name="Calc Currency (0) 26" xfId="813" xr:uid="{1A8F12B7-DA52-4968-B2C7-BA2FDEF7AB9C}"/>
    <cellStyle name="Calc Currency (0) 27" xfId="814" xr:uid="{3C13684A-77B3-4BF5-9A1E-03DB4CBCF9A3}"/>
    <cellStyle name="Calc Currency (0) 28" xfId="815" xr:uid="{35BB4969-5579-47E1-90DA-FD2DD3EE6A03}"/>
    <cellStyle name="Calc Currency (0) 29" xfId="816" xr:uid="{A503BA0F-9BD3-4CD6-9A3C-2CBDF81185D8}"/>
    <cellStyle name="Calc Currency (0) 3" xfId="817" xr:uid="{B0223195-E326-4837-93DF-1EE24E883C38}"/>
    <cellStyle name="Calc Currency (0) 30" xfId="818" xr:uid="{021C3222-60AE-4EB7-B009-DC3CBAF50745}"/>
    <cellStyle name="Calc Currency (0) 4" xfId="819" xr:uid="{2870A1C9-F98B-4F57-9250-9A2235374169}"/>
    <cellStyle name="Calc Currency (0) 5" xfId="820" xr:uid="{6B0DDCE5-C706-4289-AD72-63CF4FBCC848}"/>
    <cellStyle name="Calc Currency (0) 6" xfId="821" xr:uid="{8D102EB7-D282-49EE-AEAC-D3A529AE2CC0}"/>
    <cellStyle name="Calc Currency (0) 7" xfId="822" xr:uid="{816E2CB4-6B6E-49B9-AA20-41CF1FC81968}"/>
    <cellStyle name="Calc Currency (0) 8" xfId="823" xr:uid="{A6CA11E0-E774-4165-9C61-84DFA1DAA8F0}"/>
    <cellStyle name="Calc Currency (0) 9" xfId="824" xr:uid="{C034DD43-C611-4C2C-A5FA-F793D7EC9221}"/>
    <cellStyle name="Calc Currency (0)_收益法计算表1.6" xfId="825" xr:uid="{3A8038A1-3506-4245-9D6D-4508D409C630}"/>
    <cellStyle name="Calc Currency (2)" xfId="826" xr:uid="{E04863F6-9D7F-446D-AC0B-7E43E4761798}"/>
    <cellStyle name="Calc Percent (0)" xfId="827" xr:uid="{2C391C16-D632-47D0-B8E0-B1C58646F403}"/>
    <cellStyle name="Calc Percent (1)" xfId="828" xr:uid="{1D8B9254-77FC-4C6B-BDD6-BED94AD5D8F3}"/>
    <cellStyle name="Calc Percent (2)" xfId="829" xr:uid="{092C2762-47C8-4581-B86E-F345DB94CBCB}"/>
    <cellStyle name="Calc Units (0)" xfId="830" xr:uid="{48AF3294-0B11-431B-A193-E18ACD1CE9F2}"/>
    <cellStyle name="Calc Units (1)" xfId="831" xr:uid="{6C4BF121-724B-43F2-B93F-6A70DF02285A}"/>
    <cellStyle name="Calc Units (2)" xfId="832" xr:uid="{5414B7BD-B9A8-42ED-8CF9-CAB026EC6AD1}"/>
    <cellStyle name="Calculation" xfId="833" xr:uid="{C50FA0B0-D545-4F13-969D-282BCE63E875}"/>
    <cellStyle name="Calculation 2" xfId="834" xr:uid="{B84A807A-F0A9-4AF0-96B6-8A3FB232122E}"/>
    <cellStyle name="Calculation_Sheet1" xfId="835" xr:uid="{336CD709-095F-433E-A435-6429AC1D2120}"/>
    <cellStyle name="category" xfId="836" xr:uid="{D2B3AD18-A23E-4BB0-8F0E-C1A1D1DF859F}"/>
    <cellStyle name="cComma0" xfId="837" xr:uid="{9AACB18E-9D20-4778-A2EF-D34C6A048724}"/>
    <cellStyle name="cComma1" xfId="838" xr:uid="{9CE4DEC9-51AB-4FB1-9C29-C775F5AE114E}"/>
    <cellStyle name="cComma2" xfId="839" xr:uid="{0D4DC491-2A30-4E80-B4AC-FE04F95DB4C8}"/>
    <cellStyle name="cDateDM" xfId="840" xr:uid="{D15D81F4-D3E2-4879-B358-7E451B6AE4DE}"/>
    <cellStyle name="cDateDMY" xfId="841" xr:uid="{366E4D97-A2E9-412C-A550-72BEF8A8B05D}"/>
    <cellStyle name="cDateMY" xfId="842" xr:uid="{FDEEDDA6-EE79-436D-8345-67E8B7E5E312}"/>
    <cellStyle name="cDateT24" xfId="843" xr:uid="{29AA21D6-040F-4965-9FBE-95E09C3CA8D4}"/>
    <cellStyle name="Check Cell" xfId="844" xr:uid="{CB139AE4-1399-40F8-8F1F-3D0B7CF93D75}"/>
    <cellStyle name="Check Cell 2" xfId="845" xr:uid="{16E49627-1BDC-4920-ADDA-0FADA48C022D}"/>
    <cellStyle name="Check Cell_Sheet1" xfId="846" xr:uid="{4AE338EE-FABC-439E-B077-645EF5EA4E54}"/>
    <cellStyle name="Code" xfId="847" xr:uid="{D6492CC0-01E2-4EE0-8C35-84733D4C9420}"/>
    <cellStyle name="Col Heads" xfId="848" xr:uid="{E7E01EE6-D6A7-4178-9FF7-E4FC9F910C99}"/>
    <cellStyle name="ColHead" xfId="849" xr:uid="{7D90B75B-C3DF-4E6A-9EFF-A5A0D3927946}"/>
    <cellStyle name="ColHead 2" xfId="850" xr:uid="{32FADD9C-B04E-4E80-B390-07C71196F10F}"/>
    <cellStyle name="ColHead_Sheet1" xfId="851" xr:uid="{A5CA4D66-4AE4-412F-BD71-C16FAD9DB029}"/>
    <cellStyle name="ColLevel_0" xfId="852" xr:uid="{3D839223-E1E7-4031-BB40-8CEA653275F6}"/>
    <cellStyle name="Column Headings" xfId="853" xr:uid="{2BD229F9-D64B-4564-8C8F-674261A5451F}"/>
    <cellStyle name="Column$Headings" xfId="854" xr:uid="{CF20AEE8-CF26-401D-AE14-780D5A6AFBE9}"/>
    <cellStyle name="Column$Headings 2" xfId="855" xr:uid="{D4BA9414-7DAF-43F2-A203-2C32DE2B397F}"/>
    <cellStyle name="Column_Title" xfId="856" xr:uid="{D03493FC-6382-4C04-A534-61784622BF8B}"/>
    <cellStyle name="Comma  - Style1" xfId="857" xr:uid="{34E4B01D-4D16-4D72-B7D3-154C837B1CEE}"/>
    <cellStyle name="Comma  - Style1 2" xfId="858" xr:uid="{78A54B28-EF7A-46CD-A2BB-DAD9A4809037}"/>
    <cellStyle name="Comma  - Style2" xfId="859" xr:uid="{A1740027-33EC-4D01-A584-925FA6C20982}"/>
    <cellStyle name="Comma  - Style2 2" xfId="860" xr:uid="{712ED292-7A49-4B21-99DA-FD1D4EE4FC1B}"/>
    <cellStyle name="Comma  - Style3" xfId="861" xr:uid="{2E13169D-5956-48FD-9E54-A00EDCB29E43}"/>
    <cellStyle name="Comma  - Style3 2" xfId="862" xr:uid="{CB023A5A-1E10-4561-9A1E-C065FE2CFB85}"/>
    <cellStyle name="Comma  - Style4" xfId="863" xr:uid="{67BE68BC-F7AA-444E-B000-4B51D4E07F99}"/>
    <cellStyle name="Comma  - Style4 2" xfId="864" xr:uid="{E695F8C3-8896-4706-BE05-A14B0B4C5DB4}"/>
    <cellStyle name="Comma  - Style5" xfId="865" xr:uid="{7D2CF058-C73A-4305-B584-6BD892DE1F24}"/>
    <cellStyle name="Comma  - Style5 2" xfId="866" xr:uid="{0C66CE73-3E6E-45C2-9C08-356E2A2E7C96}"/>
    <cellStyle name="Comma  - Style6" xfId="867" xr:uid="{81F265D7-CD74-4408-8685-4C13861660C0}"/>
    <cellStyle name="Comma  - Style6 2" xfId="868" xr:uid="{58B22765-E490-4E23-88E3-4A669DE46C4E}"/>
    <cellStyle name="Comma  - Style7" xfId="869" xr:uid="{50C80C59-3717-43C9-9DFA-E48F99E2D76E}"/>
    <cellStyle name="Comma  - Style7 2" xfId="870" xr:uid="{DC90EC92-B0FA-4958-9980-8230A940295E}"/>
    <cellStyle name="Comma  - Style8" xfId="871" xr:uid="{5469F7D5-FCBA-4987-9FFA-2DB7E2F5621B}"/>
    <cellStyle name="Comma  - Style8 2" xfId="872" xr:uid="{6C56EF21-2C17-4B44-A9DA-1903A9DC40E3}"/>
    <cellStyle name="Comma [0]" xfId="873" xr:uid="{51454774-939E-4667-B5F7-FD9D3EF01463}"/>
    <cellStyle name="Comma [00]" xfId="874" xr:uid="{03D01BB1-5C91-4FCC-BE1E-C7D01F0E13E4}"/>
    <cellStyle name="Comma 2 3" xfId="875" xr:uid="{619C1C8B-38D3-42C1-8EAF-30E95EA4DB35}"/>
    <cellStyle name="Comma 4" xfId="876" xr:uid="{3B9EDD79-A3F1-45EE-9DB2-9574F2013A72}"/>
    <cellStyle name="comma zerodec" xfId="877" xr:uid="{DEAC2EC6-A530-4385-B98E-3FE1B4F0A1D2}"/>
    <cellStyle name="comma zerodec 2" xfId="878" xr:uid="{D324E2A3-C4C4-4A36-8239-7FB92893C30B}"/>
    <cellStyle name="comma zerodec_Sheet1" xfId="879" xr:uid="{59E4B535-014D-47EF-852F-43E68BC6F6C5}"/>
    <cellStyle name="Comma,0" xfId="880" xr:uid="{2D786C6F-D260-4C9C-8A2B-981A27159B8D}"/>
    <cellStyle name="Comma,1" xfId="881" xr:uid="{09F7DF6D-0657-4CBB-A7C1-AD36FCE3A43F}"/>
    <cellStyle name="Comma,2" xfId="882" xr:uid="{2C8B5C91-5598-4E70-8D55-9CC263804413}"/>
    <cellStyle name="Comma[0]" xfId="883" xr:uid="{31C55D94-0CB5-463F-9049-60EE2154593E}"/>
    <cellStyle name="Comma[2]" xfId="884" xr:uid="{63245BFB-AA1F-44EC-B9EC-B73D3A6C24C6}"/>
    <cellStyle name="Comma[2] 2" xfId="885" xr:uid="{2DC49378-9C0B-4835-9A63-70377B2BE401}"/>
    <cellStyle name="Comma_ SG&amp;A Bridge " xfId="886" xr:uid="{8DB8EBCE-47DC-4197-AFB2-9455038057A4}"/>
    <cellStyle name="Comma0 - Modelo1" xfId="887" xr:uid="{903E5619-513B-4AFF-BC3F-CD9DA5785F16}"/>
    <cellStyle name="Comma0 - Style1" xfId="888" xr:uid="{97647F62-39DD-4139-839B-65A274AA1C47}"/>
    <cellStyle name="Comma1 - Modelo2" xfId="889" xr:uid="{ED57E4AD-46CB-43A1-96DE-B3A18F684A8E}"/>
    <cellStyle name="Comma1 - Style2" xfId="890" xr:uid="{43B37734-5642-4B12-B07A-CD226DB2949D}"/>
    <cellStyle name="comma-d" xfId="891" xr:uid="{E0D53433-7220-4FD3-9B47-3F1981EC35B1}"/>
    <cellStyle name="comma-d 2" xfId="892" xr:uid="{D85D3B1B-3147-4C67-81DC-5003B609053B}"/>
    <cellStyle name="comma-d_Sheet1" xfId="893" xr:uid="{608248A5-489D-4D1F-8A0A-538AF487EE9D}"/>
    <cellStyle name="Copied" xfId="894" xr:uid="{07083EB3-E5DF-45BC-A7B1-76AB89B3B351}"/>
    <cellStyle name="COST1" xfId="895" xr:uid="{57782FC7-BF63-432A-AAC2-E45546B59B99}"/>
    <cellStyle name="cPercent0" xfId="896" xr:uid="{C7AB334D-CE49-4B4C-B3DA-98BA85FFBB5D}"/>
    <cellStyle name="cPercent1" xfId="897" xr:uid="{F4D863D4-1EB1-4E69-BBC9-A2EAF9FBA64B}"/>
    <cellStyle name="cPercent2" xfId="898" xr:uid="{E2A84298-BBAD-431B-95CD-28D6B2CB6B65}"/>
    <cellStyle name="cr" xfId="899" xr:uid="{77E34C55-5BA6-4C7F-A5ED-2A4CE25EA745}"/>
    <cellStyle name="Credit" xfId="900" xr:uid="{0FA8F139-312F-4FC6-9388-FFDF91BEF515}"/>
    <cellStyle name="Credit subtotal" xfId="901" xr:uid="{CAFEB2CC-6BC5-4247-90F0-6352A01111BA}"/>
    <cellStyle name="Credit Total" xfId="902" xr:uid="{E9F77DC8-EA2A-4ABB-ADFA-D914B93DFC17}"/>
    <cellStyle name="cTextB" xfId="903" xr:uid="{D9BE0289-CBDC-4A14-B594-888790EAFA70}"/>
    <cellStyle name="cTextBCen" xfId="904" xr:uid="{652AA9E1-61DC-4F67-AEA9-1709319B7791}"/>
    <cellStyle name="cTextBCenSm" xfId="905" xr:uid="{7460AF88-C9A8-49B4-A89A-2CC1609C874B}"/>
    <cellStyle name="cTextCen" xfId="906" xr:uid="{F4F34CC5-565F-4CD8-A980-7DB72878A9B0}"/>
    <cellStyle name="cTextGenWrap" xfId="907" xr:uid="{FF9640A8-B626-48B3-84D1-775DC8EED4A0}"/>
    <cellStyle name="cTextI" xfId="908" xr:uid="{5F67DCA9-B198-41FA-B5D5-F6CB4AC1D517}"/>
    <cellStyle name="cTextSm" xfId="909" xr:uid="{38A226CE-8352-4DF5-AB0E-E1ED587A60E3}"/>
    <cellStyle name="cTextU" xfId="910" xr:uid="{790B99A5-36F4-4AC3-B019-798F53673075}"/>
    <cellStyle name="cu" xfId="911" xr:uid="{0A7BA5C0-33A9-4EF3-A6A4-4D59144C382C}"/>
    <cellStyle name="Curren - Style2" xfId="912" xr:uid="{33976FD2-B512-470F-A122-F2740629A99B}"/>
    <cellStyle name="Currency $" xfId="913" xr:uid="{4F552745-9371-4A3B-8DE9-55D11E6C39FE}"/>
    <cellStyle name="Currency [0]" xfId="914" xr:uid="{2C2FB708-1C0C-4A83-BC8F-417AFF2885B3}"/>
    <cellStyle name="Currency [00]" xfId="915" xr:uid="{EFE9DA05-A13C-435E-8E82-6DDD0DA456E3}"/>
    <cellStyle name="Currency$[0]" xfId="916" xr:uid="{90E48C8B-3818-4762-9465-A3B4F37D9C4D}"/>
    <cellStyle name="Currency$[2]" xfId="917" xr:uid="{EAC1DA88-9A3B-4F1A-910A-2A02AA65F3D1}"/>
    <cellStyle name="Currency,0" xfId="918" xr:uid="{BD2F252F-6817-4F28-BB28-2D3551E73FE2}"/>
    <cellStyle name="Currency,2" xfId="919" xr:uid="{AC827AA9-0178-46FF-AF31-1B7985E2C680}"/>
    <cellStyle name="Currency[2]" xfId="920" xr:uid="{C68730D1-C214-447B-8775-2EE628822871}"/>
    <cellStyle name="Currency[2] 2" xfId="921" xr:uid="{09B4E330-1440-4DEA-B4FF-F96DAC286C06}"/>
    <cellStyle name="Currency\[0]" xfId="922" xr:uid="{0296A5B8-AC08-4880-BFA4-2A787ADBF16D}"/>
    <cellStyle name="Currency_ rislugp" xfId="923" xr:uid="{512BD5EA-49E3-4EA9-AFB3-4E43B89DF550}"/>
    <cellStyle name="Currency1" xfId="924" xr:uid="{ECD471C5-8A0C-4B1D-AD33-838A3FE3F948}"/>
    <cellStyle name="Currency1 2" xfId="925" xr:uid="{0416647F-B8BE-4D98-BF5D-EFEF0AAF4225}"/>
    <cellStyle name="Currency1_Sheet1" xfId="926" xr:uid="{C197B75A-E267-4E20-B268-7788CA9FE6AB}"/>
    <cellStyle name="d" xfId="927" xr:uid="{0664DFB2-91E3-4F54-9ECD-5F85E11810C7}"/>
    <cellStyle name="d." xfId="928" xr:uid="{84E08153-FE3C-4878-B685-0C273F87A732}"/>
    <cellStyle name="d1" xfId="929" xr:uid="{12B78087-4194-4E13-B108-CCABBA7785F0}"/>
    <cellStyle name="d2" xfId="930" xr:uid="{F2FE64CE-562B-4EE3-B38A-CDD668763563}"/>
    <cellStyle name="d3" xfId="931" xr:uid="{6A83272C-E92F-44E8-8350-BEDB4C06EAF5}"/>
    <cellStyle name="Dash" xfId="932" xr:uid="{1A6405CE-BEB1-4E6C-BFFC-02FF3397680A}"/>
    <cellStyle name="Date" xfId="933" xr:uid="{56B49D06-471E-4233-A3CA-F26939525FA8}"/>
    <cellStyle name="Date 2" xfId="934" xr:uid="{EEB03CBC-A9FE-4A7B-B2CE-97DD8F563B75}"/>
    <cellStyle name="Date Short" xfId="935" xr:uid="{98F2C03C-843C-4D92-AACC-40719939722C}"/>
    <cellStyle name="Date_C4－工程物资" xfId="936" xr:uid="{2BADBC12-2A8D-4D0B-9480-24A4B357ABAC}"/>
    <cellStyle name="Debit" xfId="937" xr:uid="{31A66717-4DB2-4769-8152-BB0F05705563}"/>
    <cellStyle name="Debit subtotal" xfId="938" xr:uid="{79AC7BA5-3FAC-4F96-9C11-3F3BDE634B86}"/>
    <cellStyle name="Debit Total" xfId="939" xr:uid="{789B442E-A853-4457-908D-C43D9F5935A2}"/>
    <cellStyle name="Decimal 1" xfId="940" xr:uid="{615788F0-45D3-4B74-971B-9B6AF93B3B37}"/>
    <cellStyle name="Decimal 2" xfId="941" xr:uid="{268BC5C7-41FB-4122-A80A-D91C20FAD889}"/>
    <cellStyle name="Decimal 3" xfId="942" xr:uid="{BB676CD7-8500-4F6B-888A-28044F095147}"/>
    <cellStyle name="Dezimal [0]_!!!GO" xfId="943" xr:uid="{2E8B4971-E4C2-4E12-8A54-8907E41EB959}"/>
    <cellStyle name="Dezimal_!!!GO" xfId="944" xr:uid="{1F8503B4-6A76-4256-A9C8-759DD8C15653}"/>
    <cellStyle name="Dia" xfId="945" xr:uid="{E89253F7-E962-4735-9DDC-E4703FE9AE1A}"/>
    <cellStyle name="Dollar (zero dec)" xfId="946" xr:uid="{5C4D62B0-3F34-4232-AFAE-33E2F5680768}"/>
    <cellStyle name="Dollar (zero dec) 2" xfId="947" xr:uid="{2FB4954D-C3CA-4088-A4CB-E3BD4F086784}"/>
    <cellStyle name="Dollar (zero dec)_Sheet1" xfId="948" xr:uid="{F1997822-5271-4A8C-9BEE-E7C9E7752180}"/>
    <cellStyle name="DQ" xfId="949" xr:uid="{A6E191D1-35DD-4217-931D-C3A2A9C98F9D}"/>
    <cellStyle name="du" xfId="950" xr:uid="{2DB328D9-F5A7-442A-8A37-308FFD6166EE}"/>
    <cellStyle name="E&amp;Y House" xfId="951" xr:uid="{791A1CED-4D70-4E6F-9137-ED4AC7935811}"/>
    <cellStyle name="Encabez1" xfId="952" xr:uid="{80AF27E3-810D-43C9-B2D4-D1E68B93866E}"/>
    <cellStyle name="Encabez2" xfId="953" xr:uid="{33FAC773-2877-4804-A16C-201307D99F78}"/>
    <cellStyle name="Enter Currency (0)" xfId="954" xr:uid="{8F902830-2DDE-45E1-9BC4-D18B2E4E42E2}"/>
    <cellStyle name="Enter Currency (2)" xfId="955" xr:uid="{4F91BED0-17BB-4F30-99C5-C9BEB55EB840}"/>
    <cellStyle name="Enter Units (0)" xfId="956" xr:uid="{D51B1538-9CDC-45E2-B767-772A118D8EC1}"/>
    <cellStyle name="Enter Units (1)" xfId="957" xr:uid="{5C2EFAEE-1F81-4E02-93E8-6A047B4A646C}"/>
    <cellStyle name="Enter Units (2)" xfId="958" xr:uid="{ABD83278-49A3-4026-B720-6884AB8FF1D6}"/>
    <cellStyle name="Entered" xfId="959" xr:uid="{D5C4D0BE-9DD3-47BE-A0E4-07A087B34D99}"/>
    <cellStyle name="entry" xfId="960" xr:uid="{B97ED393-68DF-4A75-8A91-0B1087920843}"/>
    <cellStyle name="entry box" xfId="961" xr:uid="{C5009DF3-6BDD-4D28-9121-EB5563A762A1}"/>
    <cellStyle name="EPS" xfId="962" xr:uid="{D5D0329C-2F6D-45A5-9B3D-A070D52C54BA}"/>
    <cellStyle name="Euro" xfId="963" xr:uid="{94D620AA-B0A9-4907-B344-E31FA9A5BC30}"/>
    <cellStyle name="Euro 2" xfId="964" xr:uid="{460ACBCB-17A3-48C9-AFBF-5B8E5EF28F4E}"/>
    <cellStyle name="Euro 3" xfId="965" xr:uid="{E38D3A7C-575E-4A1A-A4F9-E52280788F54}"/>
    <cellStyle name="Euro 4" xfId="966" xr:uid="{446DE0C0-7D7A-47AC-83FE-BE62D53B333C}"/>
    <cellStyle name="Euro 5" xfId="967" xr:uid="{DDDF6A68-0852-453F-B60C-DF883614D391}"/>
    <cellStyle name="Euro 6" xfId="968" xr:uid="{18E51AFE-99BD-4B47-A7A6-67CAEC9E2C0A}"/>
    <cellStyle name="Explanatory Text" xfId="969" xr:uid="{A08C367B-CBC7-4C62-9690-E6B0E83B32DC}"/>
    <cellStyle name="Explanatory Text 2" xfId="970" xr:uid="{C5EEFBA0-AB8F-4427-8162-1246993DA3A9}"/>
    <cellStyle name="Explanatory Text_Sheet1" xfId="971" xr:uid="{694AC9F3-EDB5-4488-8630-2E39C75CDA9E}"/>
    <cellStyle name="EY House" xfId="972" xr:uid="{F060305B-EAA7-4B40-8940-8FEE7859057E}"/>
    <cellStyle name="e鯪9Y_x000b_" xfId="973" xr:uid="{E3E3BE79-E71F-4E3D-885F-2E7930C553FC}"/>
    <cellStyle name="F2" xfId="974" xr:uid="{17B2C63C-678B-4A67-BF34-66F28FC89235}"/>
    <cellStyle name="F3" xfId="975" xr:uid="{7E8625F5-7D73-4FA5-8A2F-60C08CDAA5B1}"/>
    <cellStyle name="F4" xfId="976" xr:uid="{9C724E61-BA7D-44E4-BFA6-2C7B31C12BE8}"/>
    <cellStyle name="F5" xfId="977" xr:uid="{BCA07747-E709-400D-83EF-D0ED958A8DB3}"/>
    <cellStyle name="F6" xfId="978" xr:uid="{FA0E5DFC-5567-44C7-BFB3-2FEB38AB8995}"/>
    <cellStyle name="F7" xfId="979" xr:uid="{80922D1D-14A5-4A5D-A1EC-8655D996134D}"/>
    <cellStyle name="F8" xfId="980" xr:uid="{D9E475EC-129E-4685-8251-74C32EF7FD5E}"/>
    <cellStyle name="Fijo" xfId="981" xr:uid="{12DC7F7C-4089-4522-B417-E578F0A528EC}"/>
    <cellStyle name="Financiero" xfId="982" xr:uid="{FFCDCBC3-5F7E-4DE3-8B0D-56CD4206CF3A}"/>
    <cellStyle name="Fixed" xfId="983" xr:uid="{FBF18C0F-9229-476B-A519-58B455827D07}"/>
    <cellStyle name="Followed Hyperlink" xfId="984" xr:uid="{4019C365-45F8-4366-AD5E-B52BCF251058}"/>
    <cellStyle name="Footnote" xfId="985" xr:uid="{292ED6CD-96B6-4ECC-8377-1ECBE48C0917}"/>
    <cellStyle name="Format Number Column" xfId="986" xr:uid="{C02F54D1-94F6-4DF7-8EC2-85DD9720DF87}"/>
    <cellStyle name="GAR" xfId="987" xr:uid="{BBD44930-010C-4B25-9E23-F33BBCE4FE05}"/>
    <cellStyle name="gcd" xfId="988" xr:uid="{F23A0B81-D943-40C5-BBC5-EB46786F853E}"/>
    <cellStyle name="Good" xfId="989" xr:uid="{32E4CFD8-80D5-4A73-97F5-7140B7DB88D6}"/>
    <cellStyle name="Good 2" xfId="990" xr:uid="{211B7D97-B1FE-45D9-9C8B-1ACBB8144407}"/>
    <cellStyle name="Good_Sheet1" xfId="991" xr:uid="{B311BBD7-B63C-43EB-89ED-C68EF8528815}"/>
    <cellStyle name="Grey" xfId="992" xr:uid="{B235A4B4-9541-4F3E-8DBC-EBA92065ACB2}"/>
    <cellStyle name="Grey 2" xfId="993" xr:uid="{3CEE822F-20F6-43D8-9478-DB488D51FD0A}"/>
    <cellStyle name="Head" xfId="994" xr:uid="{F3EB107A-3E25-421E-919C-B940ADDCC2ED}"/>
    <cellStyle name="Head 2" xfId="995" xr:uid="{BCF0FE8A-A565-4A48-82F7-E90E004D9208}"/>
    <cellStyle name="HEADER" xfId="996" xr:uid="{93ED33DF-2BFC-476A-A5CC-C32D228C02E4}"/>
    <cellStyle name="Header1" xfId="997" xr:uid="{E08F1773-FCB4-449C-ABB6-22B2773B4276}"/>
    <cellStyle name="Header2" xfId="998" xr:uid="{F0B65A4A-5911-4CC9-A350-D9F585048C9A}"/>
    <cellStyle name="Heading" xfId="999" xr:uid="{A5B3AEE8-7CE9-44AB-B9CB-69981E7F0D60}"/>
    <cellStyle name="Heading 1" xfId="1000" xr:uid="{DFF56A2C-DCFA-469E-8302-C63974AE78EF}"/>
    <cellStyle name="Heading 1 2" xfId="1001" xr:uid="{EFD3A561-92BF-42A0-82E0-AD4CE6CC991F}"/>
    <cellStyle name="Heading 1_Sheet1" xfId="1002" xr:uid="{CF22D162-F884-4165-91DF-2DB5EDF7957D}"/>
    <cellStyle name="Heading 2" xfId="1003" xr:uid="{5F12F611-312D-4893-A168-EE0D2690A113}"/>
    <cellStyle name="Heading 2 2" xfId="1004" xr:uid="{10174A5F-4DDC-41A4-899F-9B301C89DCCC}"/>
    <cellStyle name="Heading 2_Sheet1" xfId="1005" xr:uid="{51A1065D-2731-40BE-BB86-CE557D74AF20}"/>
    <cellStyle name="Heading 3" xfId="1006" xr:uid="{5937C30C-41CA-4C1A-B1D9-3E3842708221}"/>
    <cellStyle name="Heading 3 2" xfId="1007" xr:uid="{86552B19-5838-4CFD-9706-15573E3AB77C}"/>
    <cellStyle name="Heading 3_Sheet1" xfId="1008" xr:uid="{54693B25-4AAE-4C8F-A007-4BFD975DB0DF}"/>
    <cellStyle name="Heading 4" xfId="1009" xr:uid="{994AC1F4-E955-47B0-A7DD-83B2B38409CE}"/>
    <cellStyle name="Heading 4 2" xfId="1010" xr:uid="{A71125D4-1A76-4988-9FFF-14B6CC3F7A2F}"/>
    <cellStyle name="Heading 4_Sheet1" xfId="1011" xr:uid="{F0C53D6A-2CD8-43B2-B672-AC03436265DF}"/>
    <cellStyle name="Heading1" xfId="1012" xr:uid="{304620CC-14FD-436B-B550-D98717BDD139}"/>
    <cellStyle name="Heading2" xfId="1013" xr:uid="{53651C18-0898-4609-8337-8F10836A19AF}"/>
    <cellStyle name="HEADINGS" xfId="1014" xr:uid="{748053F1-F7C7-4FD6-932F-5E9F20B3ED54}"/>
    <cellStyle name="HEADINGSTOP" xfId="1015" xr:uid="{5028CD58-A0A2-4C41-B54C-901BDB342014}"/>
    <cellStyle name="Hide" xfId="1016" xr:uid="{DDDA2E78-0F44-45C0-8AA8-07E6E05F4167}"/>
    <cellStyle name="HideRow" xfId="1017" xr:uid="{60E451B4-E64D-4B49-983F-2FAF3555C4F1}"/>
    <cellStyle name="Hiperv??culo" xfId="1018" xr:uid="{E2DB91F0-9F9C-4DEE-8534-FF48D77848DC}"/>
    <cellStyle name="Hipervu?culo" xfId="1019" xr:uid="{8B006D46-6F4A-43EE-A027-EC04060F9D34}"/>
    <cellStyle name="Hyperlink" xfId="1020" xr:uid="{2340D731-71E3-42F6-94C5-26DCBE929D15}"/>
    <cellStyle name="iComma0" xfId="1021" xr:uid="{8BD119F0-65B2-4434-87FD-E2B4E98CD1D9}"/>
    <cellStyle name="iComma1" xfId="1022" xr:uid="{21270AD0-1762-480E-9CFA-392A2D390AB6}"/>
    <cellStyle name="iComma2" xfId="1023" xr:uid="{6BBF0E05-1A94-4DB2-B7C5-47ADFF232E1D}"/>
    <cellStyle name="iCurrency0" xfId="1024" xr:uid="{385006EA-00C9-49CD-855D-FF2E73FE590C}"/>
    <cellStyle name="iCurrency2" xfId="1025" xr:uid="{20B2EF56-0AAF-4E36-8F96-EFBEE34C8145}"/>
    <cellStyle name="iDateDM" xfId="1026" xr:uid="{6C6EDA22-FE98-44EA-8E2A-4D348A113F27}"/>
    <cellStyle name="iDateDMY" xfId="1027" xr:uid="{383B9204-7E75-455D-ABB9-6A6D5D2E7F07}"/>
    <cellStyle name="iDateMY" xfId="1028" xr:uid="{40E064A2-AC40-4DF6-B6C8-AF5A45D8D2B4}"/>
    <cellStyle name="iDateT24" xfId="1029" xr:uid="{3072980A-BFF0-4B8A-AF0D-C6895BE2C2FB}"/>
    <cellStyle name="Input" xfId="1030" xr:uid="{5C257426-5DB5-4E82-8558-50916B02012F}"/>
    <cellStyle name="Input %" xfId="1031" xr:uid="{54EA54BA-04F7-4597-80A0-312719ADD00F}"/>
    <cellStyle name="Input [yellow]" xfId="1032" xr:uid="{094677B5-CFDB-4E5B-9BD9-D00402A9065E}"/>
    <cellStyle name="Input [yellow] 2" xfId="1033" xr:uid="{936BEBB7-D9BB-44DF-A650-177617BAB8B6}"/>
    <cellStyle name="Input [yellow] 3" xfId="1034" xr:uid="{AFA294AA-A749-4A08-B5F8-BF15E373877C}"/>
    <cellStyle name="Input [yellow] 4" xfId="1035" xr:uid="{1391C2D5-DF00-42D0-A9D5-B08CAFD54E88}"/>
    <cellStyle name="Input [yellow] 5" xfId="1036" xr:uid="{98DD54BF-F7D9-466C-81BE-E135A95067A1}"/>
    <cellStyle name="Input [yellow] 6" xfId="1037" xr:uid="{EF8F5A69-03B8-4A61-A943-C0BEC1C12D6F}"/>
    <cellStyle name="Input [yellow] 7" xfId="1038" xr:uid="{C737E96B-7C58-400E-856F-ABCA8E0522F1}"/>
    <cellStyle name="Input 1" xfId="1039" xr:uid="{40FA2323-E573-462B-8845-6FFF7B47F0FB}"/>
    <cellStyle name="Input 10" xfId="1040" xr:uid="{93285C39-7E4E-4AA5-B35F-873D68E4A834}"/>
    <cellStyle name="Input 11" xfId="1041" xr:uid="{AE2769ED-FEE4-440B-A63B-8B92F2A90189}"/>
    <cellStyle name="Input 12" xfId="1042" xr:uid="{DC5D4233-4033-4BF8-92DC-7BE6E36B16FF}"/>
    <cellStyle name="Input 2" xfId="1043" xr:uid="{B17AC438-6CAB-49A2-B7A2-277D19F48A88}"/>
    <cellStyle name="Input 3" xfId="1044" xr:uid="{4D8A3A60-8166-43C2-8A81-FCAD6BB88FDB}"/>
    <cellStyle name="Input 4" xfId="1045" xr:uid="{D7BA537D-C680-41F1-BDC1-564EFB50DDDD}"/>
    <cellStyle name="Input 5" xfId="1046" xr:uid="{B2F5F228-D1D6-4369-A347-582047F6319B}"/>
    <cellStyle name="Input 6" xfId="1047" xr:uid="{A0B8F24B-A9AB-4FA4-BE07-3F5461DBF2AE}"/>
    <cellStyle name="Input 7" xfId="1048" xr:uid="{58CEDB8C-E97B-4F56-90B9-195D655CA67B}"/>
    <cellStyle name="Input 8" xfId="1049" xr:uid="{B0E9FCD6-8B21-4DBA-B4C3-6184FB91BE07}"/>
    <cellStyle name="Input 9" xfId="1050" xr:uid="{02A7D026-6FB2-47CD-B3BE-BC2F76C37F3A}"/>
    <cellStyle name="Input Cells" xfId="1051" xr:uid="{90640E13-C34F-49E5-9E8F-3F9307EDA58E}"/>
    <cellStyle name="Input Cells 2" xfId="1052" xr:uid="{D56C4A67-4436-4FEC-A477-4367AF535EEA}"/>
    <cellStyle name="Input Cells 2 2" xfId="1053" xr:uid="{39580E48-5A96-4F58-96AE-D222016375C2}"/>
    <cellStyle name="Input Cells 2_Sheet1" xfId="1054" xr:uid="{7C0D972A-B9EC-4095-A747-7EA164F9B9ED}"/>
    <cellStyle name="Input Cells 3" xfId="1055" xr:uid="{D2B32A4E-5A05-4E6E-B076-B03E62F3E8B1}"/>
    <cellStyle name="Input Cells 4" xfId="1056" xr:uid="{81248811-CFE8-46BD-991C-EDEB40ED7928}"/>
    <cellStyle name="Input Cells_Sheet1" xfId="1057" xr:uid="{DA9DD4F9-71CA-449C-AD88-2FF9A970D746}"/>
    <cellStyle name="Input_03徐州发电收益法计算表－07－18－苏城" xfId="1058" xr:uid="{AEB1783A-CCFD-4B64-AA69-1961CE1F1127}"/>
    <cellStyle name="InputArea" xfId="1059" xr:uid="{2A5E1FE6-59F6-44EF-9473-0DE98DC1C3BC}"/>
    <cellStyle name="InputBlueFont" xfId="1060" xr:uid="{C992DD1E-CA84-4611-98DD-74DFDC681F35}"/>
    <cellStyle name="iPercent0" xfId="1061" xr:uid="{16F7E94E-7127-4B35-A807-60DB47475C94}"/>
    <cellStyle name="iPercent1" xfId="1062" xr:uid="{CEC54B19-7325-459C-B3D0-0D5D5D1F3652}"/>
    <cellStyle name="iTextB" xfId="1063" xr:uid="{DD15CE29-3331-4F30-A9AD-E2AEF52FF8AC}"/>
    <cellStyle name="iTextCen" xfId="1064" xr:uid="{2468ED23-4AE7-4F1D-8509-DF3394A64FDF}"/>
    <cellStyle name="iTextGen" xfId="1065" xr:uid="{20ED385E-8E19-4CEE-AF65-810E49C243D6}"/>
    <cellStyle name="iTextGenProt" xfId="1066" xr:uid="{AE1D38AD-6591-4C40-9362-2B89ED7EF57A}"/>
    <cellStyle name="iTextGenWrap" xfId="1067" xr:uid="{A254FA62-1938-418C-AB82-79F179EDBB4E}"/>
    <cellStyle name="iTextI" xfId="1068" xr:uid="{EFEC42D2-BE16-4DF8-A609-0C2E4CC31563}"/>
    <cellStyle name="iTextSm" xfId="1069" xr:uid="{9AEE0A29-C73B-4F02-93C3-15DCE34FD4A9}"/>
    <cellStyle name="iTextU" xfId="1070" xr:uid="{257C5B94-FC6C-4096-9E53-6E45FE687AF7}"/>
    <cellStyle name="iu" xfId="1071" xr:uid="{DE89139B-FAB7-4AC1-B5AD-636FC62FAAB1}"/>
    <cellStyle name="KPMG Heading 1" xfId="1072" xr:uid="{9CB2FC61-094B-457C-9DF8-8423ABB6F366}"/>
    <cellStyle name="KPMG Heading 2" xfId="1073" xr:uid="{6FCA17B3-9C63-45EB-A304-68A2E3AE8C3D}"/>
    <cellStyle name="KPMG Heading 3" xfId="1074" xr:uid="{6404DB39-BE97-4602-8FDB-A8DD02BED4EF}"/>
    <cellStyle name="KPMG Heading 4" xfId="1075" xr:uid="{DADE23AA-58CA-4232-BDAE-0EF2421BD0E8}"/>
    <cellStyle name="KPMG Normal" xfId="1076" xr:uid="{CD682E9C-7915-4030-8ADA-9DD249517394}"/>
    <cellStyle name="KPMG Normal Text" xfId="1077" xr:uid="{0D1258A3-35FC-43C0-85E3-B1279377344B}"/>
    <cellStyle name="Line Item" xfId="1078" xr:uid="{8F872532-8BC3-4E91-A827-79D823BA39B5}"/>
    <cellStyle name="Lines Fill" xfId="1079" xr:uid="{949D750A-299E-4F0E-AA84-D7038DFAF680}"/>
    <cellStyle name="Lines Fill 2" xfId="1080" xr:uid="{2D54D9CF-2AFD-45B2-B13C-5D0C66B2A5CB}"/>
    <cellStyle name="Link Currency (0)" xfId="1081" xr:uid="{6E38B507-41A2-4C66-B8BF-8555C0ACD7E6}"/>
    <cellStyle name="Link Currency (2)" xfId="1082" xr:uid="{CCC1C332-A723-4886-B337-7780FDDEF450}"/>
    <cellStyle name="Link Units (0)" xfId="1083" xr:uid="{0C952900-F965-465A-AAB3-89A606FD4F91}"/>
    <cellStyle name="Link Units (1)" xfId="1084" xr:uid="{805F19F2-FECE-4988-85A1-F88EDB16EA54}"/>
    <cellStyle name="Link Units (2)" xfId="1085" xr:uid="{A3A6C659-3967-477B-A76E-A0B25DFD4E0F}"/>
    <cellStyle name="Linked Cell" xfId="1086" xr:uid="{3BA6E02B-9A74-43E3-B9F5-260A719A8ADC}"/>
    <cellStyle name="Linked Cell 2" xfId="1087" xr:uid="{A4F9D642-9FA5-49E5-95A5-79164E7B3C11}"/>
    <cellStyle name="Linked Cell_Sheet1" xfId="1088" xr:uid="{87FBC433-054F-43F6-A0B1-3160D41718B2}"/>
    <cellStyle name="Linked Cells" xfId="1089" xr:uid="{49DFC982-B579-4687-A609-CDE63FFB5A79}"/>
    <cellStyle name="Linked Cells 2" xfId="1090" xr:uid="{B42F8776-83B5-4C45-9D81-251E046F4070}"/>
    <cellStyle name="Linked Cells 2 2" xfId="1091" xr:uid="{D9CC4273-F545-4BBE-A0DF-6C8C0AA28712}"/>
    <cellStyle name="Linked Cells 2_Sheet1" xfId="1092" xr:uid="{930AD633-4DFB-417A-A5A7-0B7D27CAFE25}"/>
    <cellStyle name="Linked Cells 3" xfId="1093" xr:uid="{9BA9094D-009E-44EA-BAF7-17FAB2137087}"/>
    <cellStyle name="Linked Cells 4" xfId="1094" xr:uid="{9A0B92F1-13CD-4DEB-93D7-9F0A6D56A503}"/>
    <cellStyle name="Linked Cells_Sheet1" xfId="1095" xr:uid="{3A771E8D-1F24-4521-B588-9B4B95091A63}"/>
    <cellStyle name="Millares [0]_10 AVERIAS MASIVAS + ANT" xfId="1096" xr:uid="{B59BEB5B-4A43-4BBF-8238-7D4859356BDA}"/>
    <cellStyle name="Millares_10 AVERIAS MASIVAS + ANT" xfId="1097" xr:uid="{E585010E-D0AE-46DE-8DDB-078E7F9508C6}"/>
    <cellStyle name="Milliers [0]_!!!GO" xfId="1098" xr:uid="{9703ABE2-1E64-41CA-A4D9-87AA17BCF4C1}"/>
    <cellStyle name="Milliers_!!!GO" xfId="1099" xr:uid="{0ECEE37A-DC1A-40C1-B095-0ABB04BEFDDF}"/>
    <cellStyle name="Model" xfId="1100" xr:uid="{FD58C517-1496-4BF0-868B-99C718BF2268}"/>
    <cellStyle name="Moeda [0]_car" xfId="1101" xr:uid="{A9482E9C-B5DD-4A1C-B435-27E212D8C3E2}"/>
    <cellStyle name="Moeda_car" xfId="1102" xr:uid="{2902D015-E959-42C8-896F-E1A8754DA452}"/>
    <cellStyle name="Mon¨|taire [0]_!!!GO_1a" xfId="1103" xr:uid="{76B2B13F-4348-4EC7-B789-7EAB3073AEB5}"/>
    <cellStyle name="Mon¨|taire_!!!GO_1t" xfId="1104" xr:uid="{F25BAC6A-7B73-4779-8FA4-8AAA0A6F5700}"/>
    <cellStyle name="Moneda [0]_10 AVERIAS MASIVAS + ANT" xfId="1105" xr:uid="{F0613C47-BEA7-484A-A8CC-2D7BDA12792F}"/>
    <cellStyle name="Moneda_10 AVERIAS MASIVAS + ANT" xfId="1106" xr:uid="{8D704AEF-6BB5-45C8-9981-E7E4F4B65BF6}"/>
    <cellStyle name="Monétaire [0]_!!!GO" xfId="1107" xr:uid="{146C76EB-A2F9-402A-AF62-508CD905D9A5}"/>
    <cellStyle name="Monétaire_!!!GO" xfId="1108" xr:uid="{5BC84974-27BD-43C5-A8E0-BA4D44EFF500}"/>
    <cellStyle name="Month" xfId="1109" xr:uid="{4446EEDC-9D46-4C77-963F-E0F9D1C7C7F6}"/>
    <cellStyle name="Mon閠aire [0]_!!!GO" xfId="1110" xr:uid="{09CCD15D-25E9-4BFD-8891-1702F55FE965}"/>
    <cellStyle name="Mon閠aire_!!!GO" xfId="1111" xr:uid="{C25F2B09-997B-43B9-A456-9D3F81982BF1}"/>
    <cellStyle name="Multiple" xfId="1112" xr:uid="{7E7AE1CC-63BB-4021-B20A-C11DA0AE89B2}"/>
    <cellStyle name="n" xfId="1113" xr:uid="{5B5ED46D-C184-4010-B72D-91BAA7D4AE8B}"/>
    <cellStyle name="n_1028ERP明细估值(DCF)尽职调查表(金嗓子)" xfId="1114" xr:uid="{07AFE15E-172D-44ED-989E-687F10A3D36E}"/>
    <cellStyle name="n_EVP3.01" xfId="1115" xr:uid="{225BDE3A-C0BB-48FF-8D9C-97746358869A}"/>
    <cellStyle name="n_GB MODEL 082803 V1" xfId="1116" xr:uid="{D1D768AA-7EA9-44E0-88B7-C803600DE12E}"/>
    <cellStyle name="n_GB MODEL 083103 PRC  V3 w product mix change" xfId="1117" xr:uid="{94F0A636-9FA7-408F-A934-FD80E59BD372}"/>
    <cellStyle name="n_GB model V5.2 0914" xfId="1118" xr:uid="{8395A67D-4550-4BF6-8C54-7FAA9F3FC4FA}"/>
    <cellStyle name="n_GB model V7 0914" xfId="1119" xr:uid="{D34EF3B5-C422-4541-B90F-F5411FBD3922}"/>
    <cellStyle name="n_GB model V7 0921" xfId="1120" xr:uid="{13BCDDD9-7395-496A-9170-C6484889ED91}"/>
    <cellStyle name="n_铝厂" xfId="1121" xr:uid="{5DACB0B5-DB3C-4191-BDBD-A94C7E2F6A18}"/>
    <cellStyle name="n_铝厂现金流1122B" xfId="1122" xr:uid="{D0B450D5-CB92-4335-8304-081E1068A0F9}"/>
    <cellStyle name="n_铝厂现金流1125" xfId="1123" xr:uid="{B2E68804-FF60-443B-B83B-61B42E70FDB9}"/>
    <cellStyle name="n_现金流" xfId="1124" xr:uid="{286E6ED5-5086-4388-B3D6-E5B36A5C511A}"/>
    <cellStyle name="Neutral" xfId="1125" xr:uid="{852DAF43-6017-4F03-8888-49D2D8DE7324}"/>
    <cellStyle name="Neutral 2" xfId="1126" xr:uid="{27FA4A10-F63D-4404-9AF5-C4C90C9FD4E3}"/>
    <cellStyle name="Neutral_Sheet1" xfId="1127" xr:uid="{6B01F8A0-7BEC-4901-9C68-9CB555D36C88}"/>
    <cellStyle name="New Times Roman" xfId="1128" xr:uid="{CEADB3AF-5CF5-4417-BD24-7CA2F8B9F62B}"/>
    <cellStyle name="Nick's Standard" xfId="1129" xr:uid="{8C007ECB-B4C6-434F-AB18-DA458EF4776A}"/>
    <cellStyle name="no dec" xfId="1130" xr:uid="{56D12D46-8B26-4E4B-851D-A5B9FB14A755}"/>
    <cellStyle name="Non défini" xfId="1131" xr:uid="{B116202B-1D25-4A58-925B-8483F70C3DEA}"/>
    <cellStyle name="Non d閒ini" xfId="1132" xr:uid="{4F4B37AE-26A5-4E75-9C3D-0D61C1BCF8BE}"/>
    <cellStyle name="NORAML2" xfId="1133" xr:uid="{89999284-45AE-4E58-AA9F-EC198B2EE56C}"/>
    <cellStyle name="Normal - Style1" xfId="1134" xr:uid="{54B8E301-B2AF-4F62-BA2D-B049722D28DA}"/>
    <cellStyle name="Normal - Style1 2" xfId="1135" xr:uid="{D825A234-14FD-41CE-8820-841307206C3D}"/>
    <cellStyle name="Normal - Style1 2 2" xfId="1136" xr:uid="{A3A17541-BD69-4A61-9966-0435F355F6DF}"/>
    <cellStyle name="Normal - Style1 2_Sheet1" xfId="1137" xr:uid="{4B3939AB-2EEF-4525-A693-E9BE79182021}"/>
    <cellStyle name="Normal - Style1 3" xfId="1138" xr:uid="{A402C79D-BE2E-477B-95F8-6203E840BAF0}"/>
    <cellStyle name="Normal - Style1 4" xfId="1139" xr:uid="{416B7A13-F54E-4FAE-8E8A-CD1D4A27648A}"/>
    <cellStyle name="Normal - Style1 5" xfId="1140" xr:uid="{17354E3D-7846-4676-B9EF-AE11BB676513}"/>
    <cellStyle name="Normal - Style1 6" xfId="1141" xr:uid="{F44C492C-1804-4615-9865-B773E417E262}"/>
    <cellStyle name="Normal - Style1_评估明细表-中科信息-成本法-1116" xfId="1142" xr:uid="{48CC3E39-DC13-4BA6-8784-ED8BFDA6F100}"/>
    <cellStyle name="Normal 11" xfId="1143" xr:uid="{E943FD70-D5E9-4E9F-8ED6-0D45D5CDD8C1}"/>
    <cellStyle name="Normal 2" xfId="1144" xr:uid="{1072708F-DDA5-4B86-AAB1-E9EEFA2030D8}"/>
    <cellStyle name="Normal 2 2 2" xfId="1145" xr:uid="{99899F68-BDD5-45A6-8E7F-753A29CF4417}"/>
    <cellStyle name="Normal 3 2" xfId="1146" xr:uid="{970EE78E-680C-46CA-8453-1D207167919E}"/>
    <cellStyle name="Normal$" xfId="1147" xr:uid="{7BFC7C8D-9EED-4FFB-AA41-401CCF7FA8C7}"/>
    <cellStyle name="Normal_ Cost Centre Code" xfId="1148" xr:uid="{58868EDD-7180-424A-BEC6-6AD0149C7074}"/>
    <cellStyle name="normal1" xfId="1149" xr:uid="{0BCF0D9B-51D1-494A-A584-542AD1C5E546}"/>
    <cellStyle name="normal1$" xfId="1150" xr:uid="{FFBDD3A0-821C-4C6A-BAC4-27AC4F8F5F98}"/>
    <cellStyle name="normal12" xfId="1151" xr:uid="{96EB12AA-E915-4559-B35E-BCA9F7A5E291}"/>
    <cellStyle name="normal1R" xfId="1152" xr:uid="{2E3AF4CA-1C7D-47C1-BC9C-09E308D45E52}"/>
    <cellStyle name="Normal2" xfId="1153" xr:uid="{60B8622E-A2A6-45AA-893E-64AB045B6D05}"/>
    <cellStyle name="Normale_FOREIGN CURRENCIES" xfId="1154" xr:uid="{1CCE1310-E2AA-4A5B-8180-C681CA12C33E}"/>
    <cellStyle name="Normalny_Arkusz1" xfId="1155" xr:uid="{F0FED0A9-5B89-4309-AA70-19418CDBFB55}"/>
    <cellStyle name="NormalR" xfId="1156" xr:uid="{2008ED0C-847C-48A7-8F1D-32CF70434691}"/>
    <cellStyle name="Note" xfId="1157" xr:uid="{95B5525B-F7CC-4C8C-8510-09E8BCC1E5FB}"/>
    <cellStyle name="Note 2" xfId="1158" xr:uid="{433CB433-1E41-4874-BBC5-992C84CDEA39}"/>
    <cellStyle name="Note 3" xfId="1159" xr:uid="{7D0F7E55-7DCE-491F-A6F5-8EF8B7513612}"/>
    <cellStyle name="Note 4" xfId="1160" xr:uid="{E1890C18-3F25-4DE6-B6E7-2E5250F27996}"/>
    <cellStyle name="Note_Sheet1" xfId="1161" xr:uid="{3977BEAF-9553-4188-96D4-D06C6D1BB237}"/>
    <cellStyle name="Œ…‹æØ‚è [0.00]_Region Orders (2)" xfId="1162" xr:uid="{E8A711D4-5A36-45C3-A71F-4ADFCD2B2379}"/>
    <cellStyle name="Œ…‹æØ‚è_Region Orders (2)" xfId="1163" xr:uid="{3F77360A-1BB0-45BF-A6B0-B5FFF6D5F324}"/>
    <cellStyle name="oft Excel]_x000d__x000a_Comment=The open=/f lines load custom functions into the Paste Function list._x000d__x000a_Maximized=3_x000d__x000a_Basics=1_x000d__x000a_A" xfId="1164" xr:uid="{8AE3FB79-2AC7-4121-8C1B-FF417AA86CD7}"/>
    <cellStyle name="Output" xfId="1165" xr:uid="{FC11C706-B244-44C3-9677-84ECA5454B00}"/>
    <cellStyle name="Output 2" xfId="1166" xr:uid="{962F3B17-258E-47EF-8389-729C066F4A45}"/>
    <cellStyle name="Output Amounts" xfId="1167" xr:uid="{0D45206E-198A-4ADD-904A-5BA24E2BB74D}"/>
    <cellStyle name="Output_Sheet1" xfId="1168" xr:uid="{34D4ACB3-3A1B-4E98-B41E-501584A1B689}"/>
    <cellStyle name="P" xfId="1169" xr:uid="{6B80C0B5-6E8F-4462-8515-BE614950D0BA}"/>
    <cellStyle name="Patterna" xfId="1170" xr:uid="{673C4A1D-CAD6-4861-BC66-06346651C624}"/>
    <cellStyle name="per.style" xfId="1171" xr:uid="{AD0F9811-37D3-40DA-AF0C-1B1AAB4EB488}"/>
    <cellStyle name="Percent ()" xfId="1172" xr:uid="{F69C8CD2-29C3-41F3-B984-BAA398BBFBA8}"/>
    <cellStyle name="Percent [0%]" xfId="1173" xr:uid="{F222BAB6-30BE-4AB3-8C8C-FEF85FB6FFAB}"/>
    <cellStyle name="Percent [0.00%]" xfId="1174" xr:uid="{356CBFEA-C670-44B6-89F6-DBEFA747F516}"/>
    <cellStyle name="Percent [0]" xfId="1175" xr:uid="{CF8982E2-C6E4-4B55-B629-EB302D1D1071}"/>
    <cellStyle name="Percent [00]" xfId="1176" xr:uid="{5CF887B7-ECFD-4E6D-85E6-0F4C819B4A6E}"/>
    <cellStyle name="Percent [2]" xfId="1177" xr:uid="{8EAAB8EA-9B7C-45D2-99E6-8DC5FFCD15E1}"/>
    <cellStyle name="Percent [2] 2" xfId="1178" xr:uid="{2933D5F7-502F-4C63-9557-203393599364}"/>
    <cellStyle name="Percent [2]P" xfId="1179" xr:uid="{0014C5F0-DC46-4DF2-B9FC-38E08FC8D6D3}"/>
    <cellStyle name="Percent [2]P 2" xfId="1180" xr:uid="{AA3E43A7-0705-4864-8213-FBDE993F5DA7}"/>
    <cellStyle name="Percent [2]P 2 2" xfId="1181" xr:uid="{612CE764-6C0D-40A9-9840-834E493989BA}"/>
    <cellStyle name="Percent [2]P 2 3" xfId="1182" xr:uid="{F1322791-366E-472C-BDAC-584E9E0335BB}"/>
    <cellStyle name="Percent [2]P 3" xfId="1183" xr:uid="{01B93C14-7209-41BB-A6BB-4C7C470D99A7}"/>
    <cellStyle name="Percent [2]P 3 2" xfId="1184" xr:uid="{6CA80A8C-E252-4F70-B437-70CBB323EE70}"/>
    <cellStyle name="Percent [2]P 3 3" xfId="1185" xr:uid="{A1565944-3B1D-4C94-80F0-83830EC01EA1}"/>
    <cellStyle name="Percent [2]P 4" xfId="1186" xr:uid="{1B7C723D-88E6-46B3-AF48-CC5BD7B01BCA}"/>
    <cellStyle name="Percent [2]P 4 2" xfId="1187" xr:uid="{C100983B-29AB-44DF-ACEB-D550632A498C}"/>
    <cellStyle name="Percent [2]P 4 3" xfId="1188" xr:uid="{8D442A02-0441-4675-B5CC-A57C8972A940}"/>
    <cellStyle name="Percent [2]P 5" xfId="1189" xr:uid="{0F069205-2256-4272-BE9D-3E3F4B7D815B}"/>
    <cellStyle name="Percent [2]P 6" xfId="1190" xr:uid="{3FECAF33-0193-469A-BA94-6A9D3411BA26}"/>
    <cellStyle name="Percent [2]P 7" xfId="1191" xr:uid="{035BA2AC-7674-44E4-AE03-A66EEBE3702B}"/>
    <cellStyle name="Percent [2]P 8" xfId="1192" xr:uid="{4AEE4948-07D9-484C-A4AC-FF4B96CACA03}"/>
    <cellStyle name="Percent 1" xfId="1193" xr:uid="{FE074DA4-9C89-475B-BFF5-42685CE8D615}"/>
    <cellStyle name="Percent 2" xfId="1194" xr:uid="{50D6B6C1-5904-4C99-9B11-B9263E7A1650}"/>
    <cellStyle name="Percent[0]" xfId="1195" xr:uid="{4D73F2F6-545A-4DDD-AC19-2CA9855AE6D9}"/>
    <cellStyle name="Percent[0] 2" xfId="1196" xr:uid="{D0CB8355-E79D-4E8E-BDAA-6865FDD2085C}"/>
    <cellStyle name="Percent[2]" xfId="1197" xr:uid="{E1B12751-AB8B-423D-80BC-829BA1A732B1}"/>
    <cellStyle name="Percent[2] 2" xfId="1198" xr:uid="{84613786-1833-47BB-A99A-FF1F21A87C06}"/>
    <cellStyle name="Percent_!!!GO" xfId="1199" xr:uid="{DB97A17D-E856-4D54-B26B-07849AB75CA1}"/>
    <cellStyle name="Percent1" xfId="1200" xr:uid="{CFB3AE06-B3FD-430E-916E-303AB69F8DEA}"/>
    <cellStyle name="PERCENTAGE" xfId="1201" xr:uid="{2F7519D1-7863-4185-B565-B8F1845E0D5F}"/>
    <cellStyle name="percentr" xfId="1202" xr:uid="{80E33CB3-F3AE-42BE-93E6-FA865804FA70}"/>
    <cellStyle name="Pourcentage_pldt" xfId="1203" xr:uid="{AC2897B5-87C1-4F9D-9ED4-BBA621E07F1A}"/>
    <cellStyle name="Prefilled" xfId="1204" xr:uid="{7CB8BC41-D459-4582-8741-0A10E3CA9F9D}"/>
    <cellStyle name="PrePop Currency (0)" xfId="1205" xr:uid="{88209AF0-6CBA-4FE8-BD2B-8437DE066761}"/>
    <cellStyle name="PrePop Currency (2)" xfId="1206" xr:uid="{C961237B-2E31-480B-A708-35A9D26173EA}"/>
    <cellStyle name="PrePop Units (0)" xfId="1207" xr:uid="{056C6D88-7191-4F76-A1B6-56CD556C9FE3}"/>
    <cellStyle name="PrePop Units (1)" xfId="1208" xr:uid="{6AAADFD4-AC3C-42BD-B261-D10572307E28}"/>
    <cellStyle name="PrePop Units (2)" xfId="1209" xr:uid="{0AB5D7E3-F4DE-4405-A3A9-C6AC9D8234FE}"/>
    <cellStyle name="price" xfId="1210" xr:uid="{DDCDFE7B-1059-4D8A-89B7-D22DF25EADCC}"/>
    <cellStyle name="pricing" xfId="1211" xr:uid="{2EED706A-5A27-48E4-B018-90A0E3195FCA}"/>
    <cellStyle name="PSChar" xfId="1212" xr:uid="{5D7BB371-CBB4-4E53-AD90-E65EF49B7223}"/>
    <cellStyle name="PSDate" xfId="1213" xr:uid="{18A8690F-4D45-4C2D-A6E8-03D393B46A4D}"/>
    <cellStyle name="PSDec" xfId="1214" xr:uid="{239865E3-665B-4A69-8F2E-C210D6BE70E4}"/>
    <cellStyle name="PSHeading" xfId="1215" xr:uid="{12D7D3BA-F8D0-4864-88A6-D052E334B856}"/>
    <cellStyle name="PSInt" xfId="1216" xr:uid="{E66200C4-D544-4DD4-A24D-D28F2D6BC189}"/>
    <cellStyle name="PSSpacer" xfId="1217" xr:uid="{8F73EB95-B490-4E45-8AC3-71164A56D06E}"/>
    <cellStyle name="PwC Normal" xfId="1218" xr:uid="{D772FFAF-ACD5-4364-831B-F0004963B4C8}"/>
    <cellStyle name="Red" xfId="1219" xr:uid="{367553F5-B1B6-480A-81FC-0B4E854A4186}"/>
    <cellStyle name="revised" xfId="1220" xr:uid="{EDCDC4CB-292C-490C-9A34-D3B85E3DAF80}"/>
    <cellStyle name="RevList" xfId="1221" xr:uid="{A46D86AC-C007-4176-A47D-613E0F37D1F8}"/>
    <cellStyle name="RevList 2" xfId="1222" xr:uid="{FD36D84F-807C-4D6D-9177-CD081F485546}"/>
    <cellStyle name="RevList 2 2" xfId="1223" xr:uid="{0F8B612B-D475-4CCF-AE47-81113ABC6490}"/>
    <cellStyle name="RevList 2_Sheet1" xfId="1224" xr:uid="{9870281E-3F43-4962-AC71-1275A28F24B2}"/>
    <cellStyle name="RevList 3" xfId="1225" xr:uid="{F4870F05-6BCD-4EB3-95A1-75A4913DAD1B}"/>
    <cellStyle name="RevList_收益法计算表1.6" xfId="1226" xr:uid="{7F59939E-4D70-44F0-8459-A76778EA6BC4}"/>
    <cellStyle name="row_def_array" xfId="1227" xr:uid="{3EE148CE-9857-4ABC-81C1-ECAA223C8A98}"/>
    <cellStyle name="RowLevel_0" xfId="1228" xr:uid="{811C25E3-16C7-401F-A4A9-8E793AE61472}"/>
    <cellStyle name="s" xfId="1229" xr:uid="{1DF97360-5387-40D5-A9B1-10DB688C98F0}"/>
    <cellStyle name="s]_x000d__x000a_;load=C:\WINDOWS\NUMBER9\HAWKEYE.EXE C:\CSTAR20\CSTAR20.EXE_x000d__x000a_run=_x000d__x000a_Beep=yes_x000d__x000a_NullPort=None_x000d__x000a_BorderWidth=3_x000d__x000a_CursorBl" xfId="1230" xr:uid="{2F19EC89-7C0E-42B8-A35A-DCB1875C4587}"/>
    <cellStyle name="s]_x000d__x000a_load=_x000d__x000a_run=_x000d__x000a_NullPort=None_x000d__x000a_device=HP LaserJet 4 Plus,HPPCL5MS,LPT1:_x000d__x000a__x000d__x000a_[Desktop]_x000d__x000a_Wallpaper=(无)_x000d__x000a_TileWallpaper=0_x000d_" xfId="1231" xr:uid="{C6F22767-5858-4155-83E9-9C96DD322C54}"/>
    <cellStyle name="s]_x000d__x000a_spooler=yes_x000d__x000a_load=c:\windows\number9\hawkeye.exe c:\cstar20\cstar20.exe_x000d__x000a_run=_x000d__x000a_Beep=yes_x000d__x000a_NullPort=None_x000d__x000a_BorderWidth" xfId="1232" xr:uid="{12C1A7EA-432B-4EC1-B2EA-5CCF18DAE63A}"/>
    <cellStyle name="s_Design Yield" xfId="1233" xr:uid="{F680E29D-331F-4880-9099-44BAA385D9E2}"/>
    <cellStyle name="s_RRC" xfId="1234" xr:uid="{914A8B60-96AC-44B6-84E1-CCD2DB0E28C8}"/>
    <cellStyle name="s_SPRC" xfId="1235" xr:uid="{921A4092-165F-4C3F-ADEA-B06908C71E5C}"/>
    <cellStyle name="SAPBEXaggData" xfId="1236" xr:uid="{6F6BFCB5-E437-4B84-9AF7-37ECB47082C8}"/>
    <cellStyle name="SAPBEXaggDataEmph" xfId="1237" xr:uid="{F9E9E27F-8DD0-4D5B-889B-25D09012BA3A}"/>
    <cellStyle name="SAPBEXaggItem" xfId="1238" xr:uid="{AA4F00A2-421F-4166-839D-51863D9936EE}"/>
    <cellStyle name="SAPBEXaggItemX" xfId="1239" xr:uid="{6F0C4588-CC3C-4188-A5C6-C9E5876DF8ED}"/>
    <cellStyle name="SAPBEXchaText" xfId="1240" xr:uid="{472CC5E7-3320-4A21-A234-58D6528C55C2}"/>
    <cellStyle name="SAPBEXexcBad7" xfId="1241" xr:uid="{F00BCE35-8873-4805-B58B-7FFE2E4B540C}"/>
    <cellStyle name="SAPBEXexcBad8" xfId="1242" xr:uid="{52F1B134-B1E5-4C9E-A124-55380B6D4C6A}"/>
    <cellStyle name="SAPBEXexcBad9" xfId="1243" xr:uid="{2E34D605-1275-4D28-803C-779B94807FA1}"/>
    <cellStyle name="SAPBEXexcCritical4" xfId="1244" xr:uid="{37A1C808-2785-4370-BDA3-8961EED3A004}"/>
    <cellStyle name="SAPBEXexcCritical5" xfId="1245" xr:uid="{7D0A97E0-622F-4146-BD73-33FE4D217B70}"/>
    <cellStyle name="SAPBEXexcCritical6" xfId="1246" xr:uid="{BFE0C850-C1E8-4F70-B9EC-FEBC99FB4193}"/>
    <cellStyle name="SAPBEXexcGood1" xfId="1247" xr:uid="{FD9A14AD-A0AC-421A-B9E0-0EFB83B8C331}"/>
    <cellStyle name="SAPBEXexcGood2" xfId="1248" xr:uid="{942A0CBB-F9F7-4313-BF8E-F2D1E23EA90A}"/>
    <cellStyle name="SAPBEXexcGood3" xfId="1249" xr:uid="{63857D37-103A-48AE-90E2-25243CACABA7}"/>
    <cellStyle name="SAPBEXfilterDrill" xfId="1250" xr:uid="{8140687C-95CD-45CA-BB1C-74102583FE30}"/>
    <cellStyle name="SAPBEXfilterItem" xfId="1251" xr:uid="{51A51DD8-0DC8-43F3-8DF9-5212A22DB4C9}"/>
    <cellStyle name="SAPBEXfilterText" xfId="1252" xr:uid="{549BDAA2-3A94-401D-B947-DB619C84E207}"/>
    <cellStyle name="SAPBEXformats" xfId="1253" xr:uid="{69107054-E0AD-4E6C-8A02-745F69152951}"/>
    <cellStyle name="SAPBEXheaderItem" xfId="1254" xr:uid="{A349729F-95F5-47EB-9BB6-76877AD01137}"/>
    <cellStyle name="SAPBEXheaderText" xfId="1255" xr:uid="{0AA0A7D4-3FFB-40A4-8653-0513B129AC18}"/>
    <cellStyle name="SAPBEXHLevel0" xfId="1256" xr:uid="{3277E768-B6B7-4A5D-8523-5184A097923E}"/>
    <cellStyle name="SAPBEXHLevel0X" xfId="1257" xr:uid="{7FE34C27-3EEE-4ED1-8B2B-43D3CC068A39}"/>
    <cellStyle name="SAPBEXHLevel1" xfId="1258" xr:uid="{B877EE67-25C5-4550-9106-3366EB4F7C55}"/>
    <cellStyle name="SAPBEXHLevel1X" xfId="1259" xr:uid="{4AC62DEB-4E7E-47FA-95A4-FC6EA363765C}"/>
    <cellStyle name="SAPBEXHLevel2" xfId="1260" xr:uid="{9E5D4546-38F1-43C2-A49E-C3ED46FBFAA6}"/>
    <cellStyle name="SAPBEXHLevel2X" xfId="1261" xr:uid="{9E86C367-BD5A-4541-ADC2-CC98A8656399}"/>
    <cellStyle name="SAPBEXHLevel3" xfId="1262" xr:uid="{98EAA74D-C204-4B5D-99B1-650FD1182A6D}"/>
    <cellStyle name="SAPBEXHLevel3X" xfId="1263" xr:uid="{12EC93C0-ABF2-4ACC-9F20-C4A58E63A2E1}"/>
    <cellStyle name="SAPBEXresData" xfId="1264" xr:uid="{B995C950-E6E8-4035-BB2C-6C73FCFBAE27}"/>
    <cellStyle name="SAPBEXresDataEmph" xfId="1265" xr:uid="{70797386-7963-4322-87E8-ED17DC75065F}"/>
    <cellStyle name="SAPBEXresItem" xfId="1266" xr:uid="{86AD8BE6-5429-4606-B171-06087A11378C}"/>
    <cellStyle name="SAPBEXresItemX" xfId="1267" xr:uid="{C71A6C4B-1F88-4A69-A020-2800361D0C7D}"/>
    <cellStyle name="SAPBEXstdData" xfId="1268" xr:uid="{DE3C7376-F002-46DD-9BEC-989BEF522875}"/>
    <cellStyle name="SAPBEXstdDataEmph" xfId="1269" xr:uid="{3AE8C617-1AD5-44C1-B686-1F9EE40851B6}"/>
    <cellStyle name="SAPBEXstdItem" xfId="1270" xr:uid="{486B9923-D508-4F91-8629-40B08AA3E6DF}"/>
    <cellStyle name="SAPBEXstdItemX" xfId="1271" xr:uid="{8F375A7C-BFDA-43E9-A407-9CA6B8C127DD}"/>
    <cellStyle name="SAPBEXtitle" xfId="1272" xr:uid="{46C542EF-8D5E-4F56-852E-ED4C315E1AB5}"/>
    <cellStyle name="SAPBEXundefined" xfId="1273" xr:uid="{6E58E7DE-0F35-492A-AB55-F835F7305F23}"/>
    <cellStyle name="section" xfId="1274" xr:uid="{A12F1170-3026-40D4-AF38-1B155DD5D9EB}"/>
    <cellStyle name="Sheet Head" xfId="1275" xr:uid="{7D87B587-A326-4032-A85E-39CAED2FB0D7}"/>
    <cellStyle name="SOR" xfId="1276" xr:uid="{D19F4E9C-3B65-4F9F-8737-87BBD401DB3F}"/>
    <cellStyle name="sstot" xfId="1277" xr:uid="{E0111B96-4BD2-430A-BF45-5346A6C5851F}"/>
    <cellStyle name="Standard_AREAS" xfId="1278" xr:uid="{170AC99C-91BD-4D34-9DAB-8B4391E3A459}"/>
    <cellStyle name="STYL1 - Style1" xfId="1279" xr:uid="{42631399-9DF6-4356-88B1-38D71CAF40D9}"/>
    <cellStyle name="style" xfId="1280" xr:uid="{52B25C55-8E7B-4394-B9EE-C13B504548DC}"/>
    <cellStyle name="Style 1" xfId="1281" xr:uid="{F11C9D48-5B23-4D2C-813E-40D2EB474A04}"/>
    <cellStyle name="style1" xfId="1282" xr:uid="{10010639-576B-4A89-8A79-82F36FCDEFB2}"/>
    <cellStyle name="style2" xfId="1283" xr:uid="{8EEA7BA4-2CE9-44D1-BC6B-E8E0DE65D2C7}"/>
    <cellStyle name="style2 2" xfId="1284" xr:uid="{5F4D3591-FD9C-45F2-9BD8-3947BB2C9CC5}"/>
    <cellStyle name="subhead" xfId="1285" xr:uid="{06AF1E9A-AA62-4A4F-8D2A-136B2634A247}"/>
    <cellStyle name="Subtotal" xfId="1286" xr:uid="{1CC642C4-D0F6-43D0-B670-E0E22F3F2BDD}"/>
    <cellStyle name="Sum" xfId="1287" xr:uid="{1C24CE38-AF59-4723-AA0C-5537A53B97B3}"/>
    <cellStyle name="Sum %of HV" xfId="1288" xr:uid="{72C094EB-DD2E-41DB-893D-0A0AEC3CD33E}"/>
    <cellStyle name="Sum_03预算" xfId="1289" xr:uid="{7F91B65A-5E48-43D7-A920-A133B67D3F99}"/>
    <cellStyle name="t" xfId="1290" xr:uid="{5085FC09-3D40-4D4C-895E-4A2D6B1293F2}"/>
    <cellStyle name="t 2" xfId="1291" xr:uid="{65FED61A-AD2A-485B-AA90-FECACCC12829}"/>
    <cellStyle name="t]_x000d__x000a_color schemes=Windows Default_x000d__x000a__x000d__x000a_[color schemes]_x000d__x000a_Arizona=804000,FFFFFF,FFFFFF,0,FFFFFF,0,808040,C0C0C0,FF" xfId="1292" xr:uid="{C19DE300-4690-4E08-BCFB-3E20BAF58EF0}"/>
    <cellStyle name="t]_x000d__x000a_color schemes=默认 Windows_x000d__x000a__x000d__x000a_[color schemes]_x000d__x000a_Arizona=804000,FFFFFF,FFFFFF,0,FFFFFF,0,808040,C0C0C0,FFFFF" xfId="1293" xr:uid="{69186E5B-EDD3-4290-9087-618C4C870619}"/>
    <cellStyle name="t_1028ERP明细估值(DCF)尽职调查表(金嗓子)" xfId="1294" xr:uid="{43182F7B-F26F-4508-BEAD-5C280524A8BC}"/>
    <cellStyle name="t_EVP3.01" xfId="1295" xr:uid="{525E38AE-BFDA-496D-ADDE-0072271B8420}"/>
    <cellStyle name="t_GB MODEL 082803 V1" xfId="1296" xr:uid="{2CE2D062-11B5-43AB-9047-111AF6992861}"/>
    <cellStyle name="t_GB MODEL 083103 PRC  V3 w product mix change" xfId="1297" xr:uid="{DA9DDB93-C8CB-4FE0-9E80-D7EC76F48941}"/>
    <cellStyle name="t_GB model V5.2 0914" xfId="1298" xr:uid="{13FB42A3-E061-4011-8212-5CB4325AD006}"/>
    <cellStyle name="t_GB model V7 0914" xfId="1299" xr:uid="{546679D0-55F5-4351-AE08-0EFE68A8CEAC}"/>
    <cellStyle name="t_GB model V7 0921" xfId="1300" xr:uid="{736A33BF-1F65-4006-81B4-9BDDD8ECEC30}"/>
    <cellStyle name="t_HVAC Equipment (3)" xfId="1301" xr:uid="{546D36BB-3A84-4756-8E89-44F5848B6E0D}"/>
    <cellStyle name="t_Sheet1" xfId="1302" xr:uid="{83379526-70B4-4EB9-83CA-7D6E142B9046}"/>
    <cellStyle name="t_铝厂" xfId="1303" xr:uid="{F698B39B-2F59-4046-9CE7-C0BA5E7A49D6}"/>
    <cellStyle name="t_铝厂现金流1122B" xfId="1304" xr:uid="{DBF84E54-B35A-4F7B-BAA1-D45A903D18A3}"/>
    <cellStyle name="t_铝厂现金流1125" xfId="1305" xr:uid="{0569948D-3F6D-4BC2-8A28-2B34E65CE2CB}"/>
    <cellStyle name="t_现金流" xfId="1306" xr:uid="{396F7976-1230-4B0A-BA82-AC8A072313BE}"/>
    <cellStyle name="Text Indent A" xfId="1307" xr:uid="{19B047D2-1CBB-4560-8280-FA76758A0322}"/>
    <cellStyle name="Text Indent B" xfId="1308" xr:uid="{6153D8B5-4461-453B-B11E-E824EA4B31EA}"/>
    <cellStyle name="Text Indent C" xfId="1309" xr:uid="{6973B0B7-7E40-45FA-A22A-C6F399D789E7}"/>
    <cellStyle name="Thousands" xfId="1310" xr:uid="{ECA415F1-A2D1-4617-A556-FB3CB550D637}"/>
    <cellStyle name="time" xfId="1311" xr:uid="{A6F2A36E-4E8E-45BB-9553-537CEBAB2C0A}"/>
    <cellStyle name="times" xfId="1312" xr:uid="{67E1A123-D4EB-4748-BFDA-2F153F4C1020}"/>
    <cellStyle name="Times New Roman" xfId="1313" xr:uid="{11A01CE7-3AA3-4826-8459-A29D6704E382}"/>
    <cellStyle name="title" xfId="1314" xr:uid="{56FD3763-4AE3-433E-90D7-30876A4957C7}"/>
    <cellStyle name="Title 2" xfId="1315" xr:uid="{A14C4E03-71A0-4899-82CE-C9FED3716926}"/>
    <cellStyle name="Title_Sheet1" xfId="1316" xr:uid="{8A2959DB-7453-4B7E-8ECB-6B38CA54F670}"/>
    <cellStyle name="Total" xfId="1317" xr:uid="{C725E562-5BD8-474B-8E52-041832B74FEB}"/>
    <cellStyle name="Tusental (0)_pldt" xfId="1318" xr:uid="{DA22FCEB-D81A-4313-8BF8-60DB28DD2613}"/>
    <cellStyle name="Tusental_pldt" xfId="1319" xr:uid="{3503B9CD-8C8E-4A25-9328-884B3F4D971C}"/>
    <cellStyle name="u" xfId="1320" xr:uid="{1BF5B220-E296-4CE9-B7B1-F3435929B70A}"/>
    <cellStyle name="u_Matrix" xfId="1321" xr:uid="{5D33CD79-A24D-4F98-B86E-5FB19A156DEA}"/>
    <cellStyle name="u_Module1 (2)" xfId="1322" xr:uid="{CC25A604-7F32-4279-B0CF-5FDE11435AD0}"/>
    <cellStyle name="u2" xfId="1323" xr:uid="{825929A6-CF66-4211-AC59-EFBE8B5EE874}"/>
    <cellStyle name="Underline 2" xfId="1324" xr:uid="{439B610A-D054-4182-92DF-FCE5FEF7E02B}"/>
    <cellStyle name="UnlockedCell_Line" xfId="1325" xr:uid="{D7FE2906-AC77-4110-ADBA-C2321B34A458}"/>
    <cellStyle name="UnlockedCells" xfId="1326" xr:uid="{895CB0D4-2A6C-44C6-B579-92F2DC4AB3B7}"/>
    <cellStyle name="Unprotect" xfId="1327" xr:uid="{E27E140C-8CAA-4D28-AD41-23EBB021D609}"/>
    <cellStyle name="Unprotected" xfId="1328" xr:uid="{32D1D663-8927-4672-901E-07C7FDA5C2D5}"/>
    <cellStyle name="Valuta (0)_OVERHE" xfId="1329" xr:uid="{2B022FF6-E478-4EB9-8FA0-341FC0956DE9}"/>
    <cellStyle name="Valuta_OVERHE" xfId="1330" xr:uid="{7ADC4C00-3CA6-450B-9200-85048792738C}"/>
    <cellStyle name="Warning Text" xfId="1331" xr:uid="{7CF558C2-1B6A-499A-A2C4-D3D207404343}"/>
    <cellStyle name="Warning Text 2" xfId="1332" xr:uid="{EC0B5BA7-925A-40B2-927C-4DCA2B33A4EC}"/>
    <cellStyle name="Warning Text_Sheet1" xfId="1333" xr:uid="{9DD78C70-75F2-43B7-9569-F3E5F419C0FC}"/>
    <cellStyle name="W臧rung [0]_TIFA19~1" xfId="1334" xr:uid="{EB5477FF-86DC-4EB8-8A7E-9F1EF2B98478}"/>
    <cellStyle name="W臧rung_TIFA19~1" xfId="1335" xr:uid="{26A6DBED-932A-4194-83AF-9AE192AD92A0}"/>
    <cellStyle name="xHeading" xfId="1336" xr:uid="{5BE18419-E84A-4D1D-B3B5-A3D70E12D427}"/>
    <cellStyle name="xHeadingCen" xfId="1337" xr:uid="{E0F3E3E2-C92C-4410-88C8-A9C116AA3415}"/>
    <cellStyle name="xHeadingVer" xfId="1338" xr:uid="{E7714A3F-68FE-48C5-9655-50321CCF4211}"/>
    <cellStyle name="xRangeName" xfId="1339" xr:uid="{FE92AFC2-1FD7-4B16-A628-17480B02BA73}"/>
    <cellStyle name="xTitle" xfId="1340" xr:uid="{76C5BE16-FBCC-4086-BD1F-B25A45AE2615}"/>
    <cellStyle name="xTitle B&amp;W" xfId="1341" xr:uid="{1B3690CD-8C27-4F6F-95A4-E94B0A616FEF}"/>
    <cellStyle name="xTitle Colour" xfId="1342" xr:uid="{D3AF91E2-B304-40DB-BFC3-5F532B84E304}"/>
    <cellStyle name="Year" xfId="1343" xr:uid="{8A741F56-2799-4B32-8204-9C70D392B721}"/>
    <cellStyle name="Year 2" xfId="1344" xr:uid="{45F22432-7B95-4580-BC96-DE24F53BDAA9}"/>
    <cellStyle name="Year_Sheet1" xfId="1345" xr:uid="{4D281F9E-5067-43EF-9A98-4E761D3D4CC1}"/>
    <cellStyle name="パーセント_laroux" xfId="1346" xr:uid="{691CA0DC-7A7A-4B75-B939-557321429D67}"/>
    <cellStyle name="_PLDT" xfId="1347" xr:uid="{D0903250-FF6C-47DC-BD37-60922BED0221}"/>
    <cellStyle name="_laroux" xfId="1348" xr:uid="{0C03435F-B41C-4A68-A42E-2D7F64E4B582}"/>
    <cellStyle name="だ[0]_PLDT" xfId="1349" xr:uid="{872C8201-8A79-43E0-8419-8878C344B26E}"/>
    <cellStyle name="だ_PLDT" xfId="1350" xr:uid="{C874D27D-E246-4D93-9C22-55BB68B9D4C5}"/>
    <cellStyle name="だ[0]_Total (2)" xfId="1351" xr:uid="{52CC8005-1ADD-44C0-8962-88729BC6A495}"/>
    <cellStyle name="だ_laroux" xfId="1352" xr:uid="{E15E5BF3-EC8D-4A9A-9E28-240758BA5DD3}"/>
    <cellStyle name="百分比" xfId="2" builtinId="5"/>
    <cellStyle name="百分比 10" xfId="1353" xr:uid="{12D218BB-F279-4E68-9159-8F918091E2A0}"/>
    <cellStyle name="百分比 10 2" xfId="1354" xr:uid="{4C97090E-633A-4B64-A54D-0D6B783BC21F}"/>
    <cellStyle name="百分比 10 2 2" xfId="1355" xr:uid="{D18168D9-32A3-45CD-86ED-D563925C2609}"/>
    <cellStyle name="百分比 11" xfId="1356" xr:uid="{9D45D971-9701-4CCA-9BE9-71FC8592EA21}"/>
    <cellStyle name="百分比 12" xfId="1357" xr:uid="{5E7F157E-146C-4652-8506-9BDFA7566047}"/>
    <cellStyle name="百分比 13" xfId="1358" xr:uid="{69530F32-67A4-4C1B-BE76-B96B1C7EC65A}"/>
    <cellStyle name="百分比 14" xfId="1359" xr:uid="{11D0DAE4-C945-4C85-B9CE-97E70A4C7630}"/>
    <cellStyle name="百分比 2" xfId="1360" xr:uid="{988B38AD-417B-4631-A276-9F459C9E79C1}"/>
    <cellStyle name="百分比 2 10" xfId="1361" xr:uid="{7E959C2A-F8C0-4333-BE6D-84C4B292C371}"/>
    <cellStyle name="百分比 2 11" xfId="1362" xr:uid="{F387BF0C-8D85-4FA4-BE11-9D45E25ED6C6}"/>
    <cellStyle name="百分比 2 11 2" xfId="1363" xr:uid="{B11D2F18-38CA-418A-BED2-1156E10CCD66}"/>
    <cellStyle name="百分比 2 12" xfId="1364" xr:uid="{A443862D-1237-4BAB-BE20-FA630E768110}"/>
    <cellStyle name="百分比 2 2" xfId="10" xr:uid="{00000000-0005-0000-0000-000002000000}"/>
    <cellStyle name="百分比 2 2 2" xfId="1366" xr:uid="{0B73036D-05DA-4B83-97DB-579C5009F1FE}"/>
    <cellStyle name="百分比 2 2 2 2" xfId="1367" xr:uid="{818112F7-3793-4420-9D89-FCC35E4CADC5}"/>
    <cellStyle name="百分比 2 2 2 3" xfId="1368" xr:uid="{405D4B36-805E-41A4-A973-8A04FFA81613}"/>
    <cellStyle name="百分比 2 2 3" xfId="1369" xr:uid="{8EC4377F-CDE8-4F8A-822A-1FF510538E38}"/>
    <cellStyle name="百分比 2 2 3 2" xfId="1370" xr:uid="{9FAD094B-8716-4EC5-9C98-DA076D749725}"/>
    <cellStyle name="百分比 2 2 3 3" xfId="1371" xr:uid="{903FDF2D-C55B-40A5-BA4F-2AD65BB6059E}"/>
    <cellStyle name="百分比 2 2 4" xfId="1372" xr:uid="{E5480761-F394-4AC7-94F5-150F8C0C0CE0}"/>
    <cellStyle name="百分比 2 2 5" xfId="1373" xr:uid="{E51600AD-0959-40AE-920C-5329C5B32F6E}"/>
    <cellStyle name="百分比 2 2 6" xfId="1374" xr:uid="{2CE21AE6-241B-4C35-B33D-4E1F66D206E2}"/>
    <cellStyle name="百分比 2 2 7" xfId="1375" xr:uid="{610B9146-2288-48CD-88AC-40776632A3DE}"/>
    <cellStyle name="百分比 2 2 8" xfId="1376" xr:uid="{157DBF2C-4153-4D57-8D93-9FBDFEA8CBBC}"/>
    <cellStyle name="百分比 2 2 9" xfId="1365" xr:uid="{7A8B2401-E8F6-45BD-B095-AF0618180D71}"/>
    <cellStyle name="百分比 2 3" xfId="1377" xr:uid="{A7EEA4E0-88B1-4C0D-B675-A1A6E06666F7}"/>
    <cellStyle name="百分比 2 3 2" xfId="1378" xr:uid="{A8ABCEFB-C3E4-46F6-88AE-22B61C34EA02}"/>
    <cellStyle name="百分比 2 3 3" xfId="1379" xr:uid="{79EA8DD0-1CA1-4743-AD77-F1FB4AA85215}"/>
    <cellStyle name="百分比 2 3 4" xfId="1380" xr:uid="{8E9A98D1-7A37-440F-A462-FB71BB9D8AC8}"/>
    <cellStyle name="百分比 2 4" xfId="1381" xr:uid="{4ED993C6-F450-4736-8A37-AA7E413EA519}"/>
    <cellStyle name="百分比 2 4 2" xfId="1382" xr:uid="{779819EE-C450-4B4F-98F1-8E7673420FBA}"/>
    <cellStyle name="百分比 2 4 3" xfId="1383" xr:uid="{79E3665A-B32C-4E5E-AC77-802E3D7D4449}"/>
    <cellStyle name="百分比 2 4 4" xfId="1384" xr:uid="{33A1EE2D-887D-4136-B87B-14A48BD5897D}"/>
    <cellStyle name="百分比 2 5" xfId="1385" xr:uid="{6BFCF479-374A-4C8A-9FE6-A429953818E0}"/>
    <cellStyle name="百分比 2 6" xfId="1386" xr:uid="{FC028FD3-47EA-4872-B967-2FBA872A3136}"/>
    <cellStyle name="百分比 2 7" xfId="1387" xr:uid="{20A3E96B-6F46-4C82-B9C4-532AF211E12E}"/>
    <cellStyle name="百分比 2 8" xfId="1388" xr:uid="{C812DA7E-C556-4B22-964D-3B668D055B3B}"/>
    <cellStyle name="百分比 2 9" xfId="1389" xr:uid="{6F366A44-A53D-42C4-9CD0-7323C3A9AE08}"/>
    <cellStyle name="百分比 3" xfId="12" xr:uid="{00000000-0005-0000-0000-000003000000}"/>
    <cellStyle name="百分比 3 2" xfId="1391" xr:uid="{D1CF6445-EF7E-4E72-997B-1B5C8B6A2A14}"/>
    <cellStyle name="百分比 3 2 2" xfId="1392" xr:uid="{1FD9F50E-9665-4108-AF77-5DECE562BA22}"/>
    <cellStyle name="百分比 3 3" xfId="1393" xr:uid="{3F2423E3-58F4-4F78-91C5-B7B60FEE3D45}"/>
    <cellStyle name="百分比 3 4" xfId="1394" xr:uid="{586DE20C-4164-4935-BD92-750F45F3FE98}"/>
    <cellStyle name="百分比 3 5" xfId="1390" xr:uid="{0E67AF11-8D13-479D-BACD-7B556861374A}"/>
    <cellStyle name="百分比 4" xfId="1395" xr:uid="{C2D2A025-BA55-492D-A98E-BBD3ADA3DD53}"/>
    <cellStyle name="百分比 4 2" xfId="1396" xr:uid="{ADBF5A89-015F-4AC5-B78C-5E763591AE38}"/>
    <cellStyle name="百分比 4 2 2" xfId="1397" xr:uid="{FFFF04E9-D4B8-47A5-8A0A-0AB546ABC497}"/>
    <cellStyle name="百分比 4 2 3" xfId="1398" xr:uid="{0016C3A6-28E0-4B2F-B568-CFF2A9E2FDBD}"/>
    <cellStyle name="百分比 4 3" xfId="1399" xr:uid="{E10883BA-1F09-459D-A62F-13ED6EDFF38D}"/>
    <cellStyle name="百分比 4 4" xfId="1400" xr:uid="{80333FE5-61B0-4A2E-8611-7DE5F1197001}"/>
    <cellStyle name="百分比 4 5" xfId="1401" xr:uid="{4DA85ACE-0A96-4240-A7AF-129AAED2BCB0}"/>
    <cellStyle name="百分比 4 6" xfId="1402" xr:uid="{FE558DB0-2650-4350-9F41-F02BCEB57428}"/>
    <cellStyle name="百分比 4 7" xfId="1403" xr:uid="{87AB539E-D449-450A-89F4-16E511DC66B7}"/>
    <cellStyle name="百分比 4 7 2" xfId="1404" xr:uid="{E81D06F4-06C5-47C3-8049-BD830AB51C3C}"/>
    <cellStyle name="百分比 4 8" xfId="1405" xr:uid="{0D3CE168-C8BE-4E93-BA85-57C2F76F0EC0}"/>
    <cellStyle name="百分比 5" xfId="1406" xr:uid="{B40E72A1-BE64-4996-AE45-75D46B1AA0EA}"/>
    <cellStyle name="百分比 5 2" xfId="1407" xr:uid="{7EF5D3F6-B238-44B7-8083-EA315BDB8C60}"/>
    <cellStyle name="百分比 5 3" xfId="1408" xr:uid="{7EDEE12F-3086-486C-AB80-D3BB279D7AA9}"/>
    <cellStyle name="百分比 6" xfId="1409" xr:uid="{49C5C78F-0E25-46EE-BF9F-176CF5F809B1}"/>
    <cellStyle name="百分比 6 2" xfId="1410" xr:uid="{9723EA01-A96E-44B1-8C93-35253B067A93}"/>
    <cellStyle name="百分比 6 3" xfId="1411" xr:uid="{E914CC33-C025-45D1-9B6F-F8BEA04F4B17}"/>
    <cellStyle name="百分比 7" xfId="1412" xr:uid="{7D5102BD-498B-4DAF-B696-AAB051A0556B}"/>
    <cellStyle name="百分比 8" xfId="1413" xr:uid="{71919719-AD31-4C44-B3D2-043C90C6D61E}"/>
    <cellStyle name="百分比 9" xfId="1414" xr:uid="{74C25263-D937-482E-8FF5-E6D9522D6984}"/>
    <cellStyle name="捠壿 [0.00]_!!!GO" xfId="1415" xr:uid="{0DD10F32-94AB-425F-8D63-D6CCE372C93E}"/>
    <cellStyle name="捠壿_!!!GO" xfId="1416" xr:uid="{0507ADB5-D788-49BE-8805-EC0EAAB65689}"/>
    <cellStyle name="備註" xfId="1417" xr:uid="{12E8BB39-6F15-4C84-B250-560A9EAE7C20}"/>
    <cellStyle name="備註 2" xfId="1418" xr:uid="{0C3DD3EA-C08F-4439-8210-F6720EEEBF9C}"/>
    <cellStyle name="備註 3" xfId="1419" xr:uid="{40B9F8DC-8328-428D-878A-274D65095598}"/>
    <cellStyle name="标题 1 2" xfId="1420" xr:uid="{EB9C3D3C-8C4B-4D33-B20C-9D44C093B95E}"/>
    <cellStyle name="标题 1 2 2" xfId="1421" xr:uid="{2505877D-EF44-4A3B-80D4-CD7AC4DD210F}"/>
    <cellStyle name="标题 1 2_Sheet1" xfId="1422" xr:uid="{045C7473-B75F-4E8F-B830-1E3EB16FED49}"/>
    <cellStyle name="标题 1 3" xfId="1423" xr:uid="{66983355-3790-4D91-BDB9-D2AA30DC19B6}"/>
    <cellStyle name="标题 1 4" xfId="1424" xr:uid="{A7077282-3794-4DB1-8BEC-7711C28C2EA1}"/>
    <cellStyle name="标题 1 5" xfId="1425" xr:uid="{94C28514-B028-45E1-8EC4-876B1EC3843C}"/>
    <cellStyle name="标题 1 6" xfId="1426" xr:uid="{F9F22320-ED72-4DD6-98B0-BE26CB5FDC27}"/>
    <cellStyle name="标题 1 7" xfId="1427" xr:uid="{A3A0E6AA-C670-4C0B-A733-4794E6ADF312}"/>
    <cellStyle name="标题 10" xfId="1428" xr:uid="{C019E131-C2B4-4BEC-8D55-D05F00A7BF3A}"/>
    <cellStyle name="标题 2 2" xfId="1429" xr:uid="{09E14A88-515A-44C8-9F20-62C09EB88D0C}"/>
    <cellStyle name="标题 2 2 2" xfId="1430" xr:uid="{E17878E6-2610-4726-99DE-A13CE9319548}"/>
    <cellStyle name="标题 2 2_Sheet1" xfId="1431" xr:uid="{1B93BEA6-47FD-4C3C-9A29-CED9AAB39AD6}"/>
    <cellStyle name="标题 2 3" xfId="1432" xr:uid="{1BD51DC6-2FE5-4000-B967-9E1F521562B8}"/>
    <cellStyle name="标题 2 4" xfId="1433" xr:uid="{7DC35F6B-73D0-491F-A474-FD712F8A4ADF}"/>
    <cellStyle name="标题 2 5" xfId="1434" xr:uid="{1C217735-DF39-4ADD-A9FE-C415C96FECFC}"/>
    <cellStyle name="标题 2 6" xfId="1435" xr:uid="{2FCF3EE0-9492-4FB7-A939-3D80955987AF}"/>
    <cellStyle name="标题 2 7" xfId="1436" xr:uid="{4EC5E1F0-84DE-4A6E-A434-612FE41122FD}"/>
    <cellStyle name="标题 3 2" xfId="1437" xr:uid="{5E7D6466-9EA2-42CB-B39B-C07B34256E13}"/>
    <cellStyle name="标题 3 2 2" xfId="1438" xr:uid="{02397DA3-031E-4C8C-97C7-4A617F92F2CF}"/>
    <cellStyle name="标题 3 2_Sheet1" xfId="1439" xr:uid="{7FAD9882-0334-4558-96DD-12416F411A85}"/>
    <cellStyle name="标题 3 3" xfId="1440" xr:uid="{FF37D152-1B9C-4F86-ABF7-1B8D9D76D7B3}"/>
    <cellStyle name="标题 3 4" xfId="1441" xr:uid="{D5DBA5AC-598D-429F-AF87-D60EA425D734}"/>
    <cellStyle name="标题 3 5" xfId="1442" xr:uid="{6E6D307F-7479-48F2-86AB-5DA27C58C830}"/>
    <cellStyle name="标题 3 6" xfId="1443" xr:uid="{9A6F217B-E57E-4B1B-980C-911C5E937097}"/>
    <cellStyle name="标题 3 7" xfId="1444" xr:uid="{DA820276-2025-41ED-80F8-87A5BA36B96C}"/>
    <cellStyle name="标题 4 2" xfId="1445" xr:uid="{01A8F742-83F4-4F16-89F0-0C8397858CA9}"/>
    <cellStyle name="标题 4 2 2" xfId="1446" xr:uid="{6F0DDA59-D624-4553-94D0-5F2BEA26555A}"/>
    <cellStyle name="标题 4 2_Sheet1" xfId="1447" xr:uid="{E27958F0-A857-4936-A60A-47846D6F6B53}"/>
    <cellStyle name="标题 4 3" xfId="1448" xr:uid="{9DD870B9-D085-43AB-ABF1-7634B01ECBFE}"/>
    <cellStyle name="标题 4 4" xfId="1449" xr:uid="{F1BF6663-0716-4B09-8914-D51B3A72E677}"/>
    <cellStyle name="标题 4 5" xfId="1450" xr:uid="{B7ADE13B-DD3F-408A-82FB-562284CB728F}"/>
    <cellStyle name="标题 4 6" xfId="1451" xr:uid="{0939A31C-1A56-45EC-B84B-03BD54574F1D}"/>
    <cellStyle name="标题 5" xfId="1452" xr:uid="{9A0A9989-2BB5-4ADB-B2F2-AF9D136083CD}"/>
    <cellStyle name="标题 5 2" xfId="1453" xr:uid="{B3EA8255-840A-44B9-95FF-A7FF6CA32A74}"/>
    <cellStyle name="标题 5_Sheet1" xfId="1454" xr:uid="{FBFD8933-EAC0-4EF5-A708-C2A39963F37B}"/>
    <cellStyle name="标题 6" xfId="1455" xr:uid="{750CFBF1-2445-4FEE-AA0C-65942165062F}"/>
    <cellStyle name="标题 7" xfId="1456" xr:uid="{F0B15389-F578-4513-98F1-E6D7076859A5}"/>
    <cellStyle name="标题 8" xfId="1457" xr:uid="{E4DE16F0-A36A-4A97-96AF-FDE79F992230}"/>
    <cellStyle name="标题 9" xfId="1458" xr:uid="{AD29BC41-09CB-43DE-80FE-0F113DB0FBED}"/>
    <cellStyle name="標題" xfId="1459" xr:uid="{5CE6DFB4-F21E-4F28-BD45-2C98DEF512B2}"/>
    <cellStyle name="標題 1" xfId="1460" xr:uid="{4D40B9AA-7EA4-4166-9CE8-8333B4C9D98C}"/>
    <cellStyle name="標題 2" xfId="1461" xr:uid="{489DCEC7-399C-4AA0-8FA6-033C375562AD}"/>
    <cellStyle name="標題 3" xfId="1462" xr:uid="{D43AA43F-374E-4588-BC44-3C3B2817E796}"/>
    <cellStyle name="標題 4" xfId="1463" xr:uid="{7667F761-30B8-4BDA-96A4-A2696E61AB7A}"/>
    <cellStyle name="標準_１１月価格表" xfId="1464" xr:uid="{E7307020-2740-4BDB-836D-FE16AF73B1AB}"/>
    <cellStyle name="表标题" xfId="1465" xr:uid="{5B449C4F-841E-42DE-B285-FB32BCD25E9E}"/>
    <cellStyle name="表标题 2" xfId="1466" xr:uid="{4247DC1C-20DE-4715-9A54-0BAFAF5118D9}"/>
    <cellStyle name="表标题 3" xfId="1467" xr:uid="{43F76F56-7E8C-4BFC-BF58-9F41BC18EEA7}"/>
    <cellStyle name="差 2" xfId="1468" xr:uid="{ED177830-06FF-4910-9A0B-2424B2DE427E}"/>
    <cellStyle name="差 2 2" xfId="1469" xr:uid="{402F08EE-C67E-453A-BAB4-47DE876D298E}"/>
    <cellStyle name="差 2_Sheet1" xfId="1470" xr:uid="{4DA30CA1-0729-4274-96BC-8999A6AB80FC}"/>
    <cellStyle name="差 3" xfId="1471" xr:uid="{CD13C152-D69E-4B61-A3B7-A3B6A90A2418}"/>
    <cellStyle name="差 4" xfId="1472" xr:uid="{712BC16F-0A64-42E3-90A3-B9162996ED5B}"/>
    <cellStyle name="差 5" xfId="1473" xr:uid="{3F67EA84-8FC8-4D14-B11A-984BBE2A6F42}"/>
    <cellStyle name="差 6" xfId="1474" xr:uid="{A67AB87E-7934-4877-94F2-B6B718C5B07E}"/>
    <cellStyle name="差 7" xfId="1475" xr:uid="{4F3915AE-25DF-4EE5-B51E-DEC62FC4D5EC}"/>
    <cellStyle name="差__dxn_temp空白表页" xfId="1476" xr:uid="{33C8C32E-4EF8-49CC-88C7-DB13EDE6D536}"/>
    <cellStyle name="差_04收益法8-6" xfId="1477" xr:uid="{0200DC50-75FE-47A0-A8A8-9E24D0E4ED39}"/>
    <cellStyle name="差_0806成本法评估申报表-中卫" xfId="1478" xr:uid="{E8604643-62C7-4ECE-A36E-ACF3909C862F}"/>
    <cellStyle name="差_0806成本法评估申报表-中卫 2" xfId="1479" xr:uid="{D5C12171-7682-4FCA-8524-E135B6BAF189}"/>
    <cellStyle name="差_0806成本法评估申报表-中卫_Sheet1" xfId="1480" xr:uid="{2AB21DD2-1C1B-42DA-8BCA-A27E9ABE425F}"/>
    <cellStyle name="差_0806成本法评估申报表-中卫_电力企业收益法表格双辽发电厂" xfId="1481" xr:uid="{DC9E0C1C-0762-477E-81D8-21D669600F28}"/>
    <cellStyle name="差_0806成本法评估申报表-中卫_电力企业收益法表格双辽发电厂 2" xfId="1482" xr:uid="{4D89A80C-8DE4-4098-8C6A-ADB4A318B3BD}"/>
    <cellStyle name="差_0806成本法评估申报表-中卫_电力企业收益法表格双辽发电厂_Sheet1" xfId="1483" xr:uid="{E9D84C8E-C02F-4D94-B19B-21CA22C4C326}"/>
    <cellStyle name="差_0806成本法评估申报表-中卫_管理费用预测表" xfId="1484" xr:uid="{A40F2E94-E95D-4F76-B1A3-1371EE8AE49D}"/>
    <cellStyle name="差_0806成本法评估申报表-中卫_管理费用预测表 2" xfId="1485" xr:uid="{362718CD-A091-4C17-AC90-0266DB878DFA}"/>
    <cellStyle name="差_0806成本法评估申报表-中卫_管理费用预测表_Sheet1" xfId="1486" xr:uid="{29A0C529-4B7F-4016-B7B9-F535B273A00C}"/>
    <cellStyle name="差_0806成本法评估申报表-中卫_收益法明细表20100506-李雪飞" xfId="1487" xr:uid="{E6FFB1D7-CD41-4EEB-9448-F04C3C6A9034}"/>
    <cellStyle name="差_0806成本法评估申报表-中卫_收益法明细表20100506-李雪飞 2" xfId="1488" xr:uid="{A1EC83CA-32FA-46C1-A079-BA42D577861A}"/>
    <cellStyle name="差_0806成本法评估申报表-中卫_收益法明细表20100506-李雪飞_Sheet1" xfId="1489" xr:uid="{5F3D92DD-CAF6-4BBD-BE44-FCD672BF4C76}"/>
    <cellStyle name="差_0806成本法评估申报表-中卫_收益法评估申报表(武汉燃料)2010-4-25" xfId="1490" xr:uid="{862A5830-8E6D-4E25-A1E6-83CF9380BF8B}"/>
    <cellStyle name="差_0806成本法评估申报表-中卫_收益法评估申报表(武汉燃料)2010-4-26" xfId="1491" xr:uid="{7AEE08CC-CEFA-4D1A-AD08-38688FE8A405}"/>
    <cellStyle name="差_0806成本法评估申报表-中卫_双鸭山收益法" xfId="1492" xr:uid="{34E6836D-2E7D-44AF-9A69-DFEBFFE13F0C}"/>
    <cellStyle name="差_0806成本法评估申报表-中卫_双鸭山收益法 2" xfId="1493" xr:uid="{472444B2-BF2A-4F04-AB56-B3CEB5A012FB}"/>
    <cellStyle name="差_0806成本法评估申报表-中卫_双鸭山收益法_Sheet1" xfId="1494" xr:uid="{B63A4527-2DF2-4488-B5EC-02BC145DB7AA}"/>
    <cellStyle name="差_0806成本法评估申报表-中卫_资本支出预测表" xfId="1495" xr:uid="{F64FF342-353A-445A-B0D8-512CB42A1D08}"/>
    <cellStyle name="差_0806成本法评估申报表-中卫_资本支出预测表 2" xfId="1496" xr:uid="{E7DB5A0A-4493-4943-AC2D-C2506E48FB5D}"/>
    <cellStyle name="差_0806成本法评估申报表-中卫_资本支出预测表_Sheet1" xfId="1497" xr:uid="{BD154B77-3063-4A3D-A861-8B3896BAA07A}"/>
    <cellStyle name="差_1.CGC采购与付款循环" xfId="1498" xr:uid="{385A05C9-90E0-4286-A309-1EF152DC8E0E}"/>
    <cellStyle name="差_1.CGC采购与付款循环 2" xfId="1499" xr:uid="{6875F13F-9E7C-46F6-914F-74BED51F0A17}"/>
    <cellStyle name="差_1.CGC采购与付款循环_Sheet1" xfId="1500" xr:uid="{5DB512B4-7DFA-4E7C-8732-1C83236EA5A9}"/>
    <cellStyle name="差_19-无形资产（空白模板）" xfId="1501" xr:uid="{BF17A669-F03C-48D8-9133-2D99BF4AF33E}"/>
    <cellStyle name="差_1短期借款" xfId="1502" xr:uid="{9DA2001C-4CD3-44F4-A909-ECB1DC8A92DA}"/>
    <cellStyle name="差_1其他应付款" xfId="1503" xr:uid="{08BE2B9A-7820-41EB-89AA-0401CDF37EDA}"/>
    <cellStyle name="差_1其他应收款" xfId="1504" xr:uid="{E36BFB2C-DFB2-4A55-B780-0C71A61221A2}"/>
    <cellStyle name="差_1应付账款" xfId="1505" xr:uid="{5DAE3478-7084-491B-BAE1-90CE0855279A}"/>
    <cellStyle name="差_1应收账款" xfId="1506" xr:uid="{A6479510-FF5A-47D9-8CB8-CF4A17D06CA8}"/>
    <cellStyle name="差_1预付款项" xfId="1507" xr:uid="{C814C579-22A0-4CB0-AB0A-46E9106D5C72}"/>
    <cellStyle name="差_1预收款项" xfId="1508" xr:uid="{EC7D72E7-1E72-4AE4-B469-3F3D8D76B0CE}"/>
    <cellStyle name="差_1专项应付款" xfId="1509" xr:uid="{48D0CECC-A3A2-4881-85A7-C9B31E800593}"/>
    <cellStyle name="差_2.GXC工薪与人事循环" xfId="1510" xr:uid="{E21B6551-9E2F-4E0B-83AE-069D95F58A00}"/>
    <cellStyle name="差_2.GXC工薪与人事循环 2" xfId="1511" xr:uid="{4645E25D-102D-4852-A8E1-C7313DA5E93C}"/>
    <cellStyle name="差_2.GXC工薪与人事循环_Sheet1" xfId="1512" xr:uid="{6CE5CE41-C1C3-402C-BD92-2F866DB0EA79}"/>
    <cellStyle name="差_2010年固定资产" xfId="1513" xr:uid="{F1B7BC52-4560-4428-8BB7-25A8B41CA906}"/>
    <cellStyle name="差_2011年利润测算" xfId="1514" xr:uid="{2FC2B384-2E90-445F-BEE9-1A34820FD963}"/>
    <cellStyle name="差_2012年利润测算" xfId="1515" xr:uid="{20262A4C-F6C9-44C8-9146-7A3D54F174BC}"/>
    <cellStyle name="差_27-短期借款(空白模板)" xfId="1516" xr:uid="{A5BA04BE-70E9-497C-A203-8B93A52C3299}"/>
    <cellStyle name="差_2-交易性金融资产（空白模板）" xfId="1517" xr:uid="{4B8BF2A3-17A9-4FDD-9803-1C702DD1F667}"/>
    <cellStyle name="差_2-交易性金融资产（空白模板） 2" xfId="1518" xr:uid="{A4ACCC27-4646-43E7-892B-5ACB03FC3BB5}"/>
    <cellStyle name="差_30-应付账款（空白模板）" xfId="1519" xr:uid="{D53CA6C5-FCE9-47A4-8957-B705BE111158}"/>
    <cellStyle name="差_31-预收账款（空白模板）" xfId="1520" xr:uid="{5BE667A2-1E23-45CA-8592-711852867D54}"/>
    <cellStyle name="差_3-收益法评估表" xfId="1521" xr:uid="{2D356C13-CFF6-4315-A868-A8CF56EE9E33}"/>
    <cellStyle name="差_4.XSC销售与收款循环" xfId="1522" xr:uid="{8C1356ED-F320-4C4E-8551-F3F54A595B5D}"/>
    <cellStyle name="差_4.XSC销售与收款循环 2" xfId="1523" xr:uid="{69B6F2AE-745A-4B36-A11D-176FA0A74A2C}"/>
    <cellStyle name="差_4.XSC销售与收款循环_Sheet1" xfId="1524" xr:uid="{8C4125D5-1DAC-4A58-B238-6D44DE39A4A3}"/>
    <cellStyle name="差_40-专项应付款(空白模板)" xfId="1525" xr:uid="{26772779-F856-4885-84C3-1772DA8E2F40}"/>
    <cellStyle name="差_49-营业收入（空白模板）" xfId="1526" xr:uid="{4F43CADB-827E-4438-B0DA-C346F49C9D6D}"/>
    <cellStyle name="差_4-应收账款（空白模板）" xfId="1527" xr:uid="{772B067C-60E3-4024-A88C-EBAAD7B96EFC}"/>
    <cellStyle name="差_5.CZC筹资与投资循环" xfId="1528" xr:uid="{0EA20E17-3F92-40E5-ABC1-C6FB52CFE6C2}"/>
    <cellStyle name="差_5.CZC筹资与投资循环 2" xfId="1529" xr:uid="{2693341A-2D04-4FE2-86D3-BA555CBE22EC}"/>
    <cellStyle name="差_5.CZC筹资与投资循环_Sheet1" xfId="1530" xr:uid="{45D84310-BE0D-41DA-B118-431200AF4817}"/>
    <cellStyle name="差_50-营业成本（空白模板）" xfId="1531" xr:uid="{3856E6B4-4F4F-4768-A2CC-C116EFC1F4B3}"/>
    <cellStyle name="差_51-营业税金及附加（空白模板）" xfId="1532" xr:uid="{411EC0AE-0A8B-4052-B4A1-875086BC48B1}"/>
    <cellStyle name="差_54-财务费用（空白模板）" xfId="1533" xr:uid="{5FE73660-5D26-43CC-BE33-2B4B4797E96D}"/>
    <cellStyle name="差_55-资产减值损失（空白模板）" xfId="1534" xr:uid="{4DD76944-44E1-4DBB-9358-4084B71F3113}"/>
    <cellStyle name="差_5-预付款项（空白模板）" xfId="1535" xr:uid="{CFDD011C-2C32-4594-B1EB-5F4D57CF1402}"/>
    <cellStyle name="差_6.GZC固定资产循环" xfId="1536" xr:uid="{1F94B47C-9699-471A-A898-BA3A07F28937}"/>
    <cellStyle name="差_6.GZC固定资产循环 2" xfId="1537" xr:uid="{1AC830D6-BAE6-4A93-BF97-EA1580430D23}"/>
    <cellStyle name="差_6.GZC固定资产循环_Sheet1" xfId="1538" xr:uid="{688D60A2-96C1-4FA2-8C17-2C3F9C33CC0B}"/>
    <cellStyle name="差_8-其他应收款（空白模板）" xfId="1539" xr:uid="{FAC83AAD-A9DF-4835-AA53-7AA2204C9D34}"/>
    <cellStyle name="差_Book1" xfId="1540" xr:uid="{00901F0F-BBFA-4776-8DBC-302AA585BC39}"/>
    <cellStyle name="差_Book1 2" xfId="1541" xr:uid="{87B32E13-41AD-4BCF-BC43-08D0304716CE}"/>
    <cellStyle name="差_Book1_Sheet1" xfId="1542" xr:uid="{53E56052-14A0-402C-A95A-D9FF4DAE18FD}"/>
    <cellStyle name="差_dxn底稿目录" xfId="1543" xr:uid="{2B3A9683-38AB-45F3-875A-11CF28A7081B}"/>
    <cellStyle name="差_FO预计负债" xfId="1544" xr:uid="{714BE98A-CA41-44DF-9F56-1B405B6949D6}"/>
    <cellStyle name="差_FO预计负债 2" xfId="1545" xr:uid="{4FE44AAF-DCB3-4C1C-961A-9C58A3B135D5}"/>
    <cellStyle name="差_FO预计负债_Sheet1" xfId="1546" xr:uid="{FA2719CF-F983-4ACA-B778-B0EE35886597}"/>
    <cellStyle name="差_G-应收账款" xfId="1547" xr:uid="{07528240-58E6-41D4-AA78-6668C01DA974}"/>
    <cellStyle name="差_QB资本公积" xfId="1548" xr:uid="{AA5C8EC6-13CC-4651-99CE-22232C10B5A6}"/>
    <cellStyle name="差_QB资本公积 2" xfId="1549" xr:uid="{D56CD7C5-A01F-4423-A011-D072CC3CF437}"/>
    <cellStyle name="差_QB资本公积_Sheet1" xfId="1550" xr:uid="{500448AF-88C1-4451-82F6-92EDCC14FDA6}"/>
    <cellStyle name="差_RESULTS" xfId="1551" xr:uid="{EF03F6E0-56A5-4039-AF4B-AAE69F94DCA6}"/>
    <cellStyle name="差_Sheet1" xfId="1552" xr:uid="{97859CCA-61DD-4ACE-A075-BEEE2E381419}"/>
    <cellStyle name="差_Sheet1_1" xfId="1553" xr:uid="{C65E05F0-1037-4C40-8EC0-165CDC1C85EA}"/>
    <cellStyle name="差_ZA0货币资金审定表 " xfId="1554" xr:uid="{B77574E6-F575-4AEE-B040-488B8A802F85}"/>
    <cellStyle name="差_ZA0货币资金审定表  2" xfId="1555" xr:uid="{FA350A28-9F9F-4DA6-A9A1-BD4CCE0E2C81}"/>
    <cellStyle name="差_鞍钢钢绳-收益法6.28" xfId="1556" xr:uid="{88F679D9-215B-4378-BDBE-B37D6EDEEF9F}"/>
    <cellStyle name="差_鞍钢钢绳-收益法6.28 2" xfId="1557" xr:uid="{2A0258F3-9473-496B-ADF5-0CDA99E5AB19}"/>
    <cellStyle name="差_鞍钢钢绳-收益法6.28_Sheet1" xfId="1558" xr:uid="{724E8ED8-4C25-42DA-BEDD-5118AB550302}"/>
    <cellStyle name="差_鞍钢钢绳-收益法6.28_管理费用预测表" xfId="1559" xr:uid="{29C762DD-6483-4D33-ADC0-A813EC8A5B60}"/>
    <cellStyle name="差_鞍钢钢绳-收益法6.28_管理费用预测表 2" xfId="1560" xr:uid="{C6ADA039-E093-400E-B003-D105BC1A0293}"/>
    <cellStyle name="差_鞍钢钢绳-收益法6.28_管理费用预测表_Sheet1" xfId="1561" xr:uid="{947FE150-6920-48CA-A6DB-38A84294241C}"/>
    <cellStyle name="差_鞍钢钢绳-收益法6.28_收益法明细表20100506-李雪飞" xfId="1562" xr:uid="{9777A250-8CD9-4C91-93DB-380770B9B768}"/>
    <cellStyle name="差_鞍钢钢绳-收益法6.28_收益法明细表20100506-李雪飞 2" xfId="1563" xr:uid="{6475A691-1E75-47BC-9D22-8D81CE79D470}"/>
    <cellStyle name="差_鞍钢钢绳-收益法6.28_收益法明细表20100506-李雪飞_Sheet1" xfId="1564" xr:uid="{859378CD-5A86-4D86-A844-83AE52D0AFF0}"/>
    <cellStyle name="差_鞍钢钢绳-收益法6.28_收益法评估申报表(武汉燃料)2010-4-25" xfId="1565" xr:uid="{7B3E1B3E-AE2D-47A6-99BA-1280C63CD28A}"/>
    <cellStyle name="差_鞍钢钢绳-收益法6.28_收益法评估申报表(武汉燃料)2010-4-26" xfId="1566" xr:uid="{5866B46A-867D-44E0-A984-B304E26AC99B}"/>
    <cellStyle name="差_鞍钢钢绳-收益法6.28_资本支出预测表" xfId="1567" xr:uid="{A1C82CAC-1F01-4F56-9DAF-7A23A675418A}"/>
    <cellStyle name="差_鞍钢钢绳-收益法6.28_资本支出预测表 2" xfId="1568" xr:uid="{7F533535-268F-424C-A356-BA5FF5924AD7}"/>
    <cellStyle name="差_鞍钢钢绳-收益法6.28_资本支出预测表_Sheet1" xfId="1569" xr:uid="{C3C80579-BA4E-4555-916D-D5CEF4CBA00F}"/>
    <cellStyle name="差_报表层次重要性水平" xfId="1570" xr:uid="{CF5D4D8D-37D9-4DFA-9DF1-545ED8B5A436}"/>
    <cellStyle name="差_报送审查版03版_行业收益法申报表(中英文)" xfId="1571" xr:uid="{2EF59507-196E-4E4A-A599-914001058C7B}"/>
    <cellStyle name="差_不可流通折扣率估算表" xfId="1572" xr:uid="{D868BFD5-35C6-4F07-B89D-D5B021C60607}"/>
    <cellStyle name="差_不可流通折扣率估算表 2" xfId="1573" xr:uid="{8782E230-CBE2-477E-99DC-621F914C566C}"/>
    <cellStyle name="差_不可流通折扣率估算表_Sheet1" xfId="1574" xr:uid="{6D5BA2D9-653A-41BE-A9D6-2EF63D255EA6}"/>
    <cellStyle name="差_不可流通折扣率估算表_管理费用预测表" xfId="1575" xr:uid="{77AE7F95-D199-418F-B484-A6FB5827F06E}"/>
    <cellStyle name="差_不可流通折扣率估算表_管理费用预测表 2" xfId="1576" xr:uid="{DA98C580-47D9-4FA2-BD9A-692CD6417B9F}"/>
    <cellStyle name="差_不可流通折扣率估算表_管理费用预测表_Sheet1" xfId="1577" xr:uid="{6ED44FD7-244F-474B-A86F-C74E291A9783}"/>
    <cellStyle name="差_不可流通折扣率估算表_收益法明细表20100506-李雪飞" xfId="1578" xr:uid="{8C218AAD-35A6-4086-9D54-19CE74A20E31}"/>
    <cellStyle name="差_不可流通折扣率估算表_收益法明细表20100506-李雪飞 2" xfId="1579" xr:uid="{27D7D98D-9D97-4C06-ADAD-E9ED2E3D5C0D}"/>
    <cellStyle name="差_不可流通折扣率估算表_收益法明细表20100506-李雪飞_Sheet1" xfId="1580" xr:uid="{5C84EDEE-7DCB-456E-9A96-BC1A961164FB}"/>
    <cellStyle name="差_不可流通折扣率估算表_收益法评估申报表(武汉燃料)2010-4-25" xfId="1581" xr:uid="{6114A849-FA87-42F3-8F0F-AD41063862EA}"/>
    <cellStyle name="差_不可流通折扣率估算表_收益法评估申报表(武汉燃料)2010-4-26" xfId="1582" xr:uid="{4F919B20-0141-408F-A705-048FEC212D50}"/>
    <cellStyle name="差_不可流通折扣率估算表_资本支出预测表" xfId="1583" xr:uid="{A139E39B-4B86-42ED-B50E-EB07E06F6A29}"/>
    <cellStyle name="差_不可流通折扣率估算表_资本支出预测表 2" xfId="1584" xr:uid="{77560080-9FB4-4DAF-94BC-E30E4E6E039F}"/>
    <cellStyle name="差_不可流通折扣率估算表_资本支出预测表_Sheet1" xfId="1585" xr:uid="{4710DCB4-5657-4FFD-A0D3-63B7D4DB7E6C}"/>
    <cellStyle name="差_常州变压器试算平衡表8-22" xfId="1586" xr:uid="{D3B5CBCC-1C54-41C7-B123-78A991988BD6}"/>
    <cellStyle name="差_常州东芝收益法模型表-Toshiba折现率" xfId="1587" xr:uid="{F426B513-3922-4F17-8756-7F8B2EB64709}"/>
    <cellStyle name="差_大信底稿目录" xfId="1588" xr:uid="{751625DA-5CD4-40AD-9102-680455441563}"/>
    <cellStyle name="差_底稿设置宏" xfId="1589" xr:uid="{6CE7A4ED-80F1-4496-9680-61E260735D3B}"/>
    <cellStyle name="差_短期借款" xfId="1590" xr:uid="{A1C4B56D-F0B1-45A2-B2EF-7EAED36B708F}"/>
    <cellStyle name="差_服务行业收益法模型表(中英文)" xfId="1591" xr:uid="{6810ECCE-EE2F-4A2C-80D6-5962772AA329}"/>
    <cellStyle name="差_服务行业收益法模型表(中英文)_3-收益法评估表" xfId="1592" xr:uid="{0C19358E-F2DE-4303-9DEF-464EF659F957}"/>
    <cellStyle name="差_服务行业收益法模型表(中英文)w" xfId="1593" xr:uid="{90E94493-06B2-49B7-8930-5AA738DE14B8}"/>
    <cellStyle name="差_服务行业收益法模型表(中英文)w_3-收益法评估表" xfId="1594" xr:uid="{398D1FEF-979C-465E-BDD7-D0B46B900022}"/>
    <cellStyle name="差_负息负债明细表" xfId="1595" xr:uid="{910131AD-38EA-4235-B00B-E365B24A6A3D}"/>
    <cellStyle name="差_副本新华收益法申报表-制造业-复杂" xfId="1596" xr:uid="{40203D79-F77C-4697-9487-2C43A6EBDC27}"/>
    <cellStyle name="差_股份房屋申报表案例计算" xfId="1597" xr:uid="{81508669-6708-473E-A9E2-267FC87368E8}"/>
    <cellStyle name="差_股份房屋申报表案例计算 2" xfId="1598" xr:uid="{777E2BAC-8403-4C56-B5A1-6B96F3EC3E84}"/>
    <cellStyle name="差_股份房屋申报表案例计算_Sheet1" xfId="1599" xr:uid="{00034402-B9FB-4C50-842C-F355E2F872C5}"/>
    <cellStyle name="差_股份公司-1210" xfId="1600" xr:uid="{379F3B50-E425-4081-A22C-FBF3DB3C066C}"/>
    <cellStyle name="差_股份公司-1210 2" xfId="1601" xr:uid="{810242A9-4A1E-41F4-94D6-207E3D0F5127}"/>
    <cellStyle name="差_股份公司-1210_Sheet1" xfId="1602" xr:uid="{0B2E1120-D379-43EA-8C72-9C1DFBE7360C}"/>
    <cellStyle name="差_管理费" xfId="1603" xr:uid="{3A267410-06B9-4FA8-ACBD-FEA5DDC0F989}"/>
    <cellStyle name="差_管理费G&amp;A" xfId="1604" xr:uid="{0046013A-59C1-43B4-AECC-F9A16C072914}"/>
    <cellStyle name="差_管理费用预测表" xfId="1605" xr:uid="{95BFB478-2ABB-4269-AB0A-737D634880BD}"/>
    <cellStyle name="差_管理费用预测表 2" xfId="1606" xr:uid="{47E27C25-6DDD-4AEC-A9E8-742D16193A56}"/>
    <cellStyle name="差_管理费用预测表_Sheet1" xfId="1607" xr:uid="{0D72845C-8CC8-4DCD-850F-B584CB545CD4}"/>
    <cellStyle name="差_国有资产评估操作表" xfId="1608" xr:uid="{947CF177-6B0E-4114-8053-648B86B2AD9C}"/>
    <cellStyle name="差_国有资产评估操作表 2" xfId="1609" xr:uid="{328BD541-73FA-400E-BF99-8FBEFF636FE8}"/>
    <cellStyle name="差_国有资产评估操作表_Sheet1" xfId="1610" xr:uid="{685B07A2-A1CD-4895-9D25-BE74420A5B97}"/>
    <cellStyle name="差_河南华利财务预测-20110622-（华利版本）" xfId="1611" xr:uid="{49E86DA2-2847-4DB6-BE4B-04491D564079}"/>
    <cellStyle name="差_环保费" xfId="1612" xr:uid="{E82BEDB7-1E6F-4A5A-A3CB-BEC99D56442A}"/>
    <cellStyle name="差_货币资金" xfId="1613" xr:uid="{1F3485A3-DB54-471E-A16C-4DF11DB26AAE}"/>
    <cellStyle name="差_经营性企业收益法模型表" xfId="1614" xr:uid="{0F7DF41D-9C49-4EE2-91E9-9EA20EFB005F}"/>
    <cellStyle name="差_经营性企业收益法模型表 2" xfId="1615" xr:uid="{FD039BEB-0E06-4170-B3D4-4218877F2C57}"/>
    <cellStyle name="差_经营性企业收益法模型表_Sheet1" xfId="1616" xr:uid="{261A40EB-614D-4AF2-BFFE-A5A44D788E4A}"/>
    <cellStyle name="差_净现金流预测" xfId="1617" xr:uid="{7055CA13-E805-4800-A270-59500E5F944D}"/>
    <cellStyle name="差_净现金流预测 2" xfId="1618" xr:uid="{34FC85C0-C65B-42E7-8BF1-C8DC4D7D77F3}"/>
    <cellStyle name="差_净现金流预测_Sheet1" xfId="1619" xr:uid="{F0A9D345-7AD3-4425-BD5C-FC42D2900E7A}"/>
    <cellStyle name="差_净现金流预测_管理费用预测表" xfId="1620" xr:uid="{7BDB7016-109A-4B7D-8823-40C92D8516A7}"/>
    <cellStyle name="差_净现金流预测_管理费用预测表 2" xfId="1621" xr:uid="{D29737DA-ED2A-444A-A447-93F360207BF8}"/>
    <cellStyle name="差_净现金流预测_管理费用预测表_Sheet1" xfId="1622" xr:uid="{4BE968FF-9F89-4AD4-AEF8-7E885DBE18F8}"/>
    <cellStyle name="差_净现金流预测_收益法明细表20100506-李雪飞" xfId="1623" xr:uid="{0CCFD5AC-3827-4169-89CE-80920DB51DC5}"/>
    <cellStyle name="差_净现金流预测_收益法明细表20100506-李雪飞 2" xfId="1624" xr:uid="{190B8494-41A3-4761-A8DD-E543CC090FCD}"/>
    <cellStyle name="差_净现金流预测_收益法明细表20100506-李雪飞_Sheet1" xfId="1625" xr:uid="{9F1342BE-CCF2-4E33-A55F-B7CB0607E9B0}"/>
    <cellStyle name="差_净现金流预测_收益法评估申报表(武汉燃料)2010-4-25" xfId="1626" xr:uid="{E3DBDF85-E670-4D60-9BDE-94A5E3E8834E}"/>
    <cellStyle name="差_净现金流预测_收益法评估申报表(武汉燃料)2010-4-26" xfId="1627" xr:uid="{AAC439EB-D6CF-47DB-B211-1CB8AEBA68BF}"/>
    <cellStyle name="差_净现金流预测_资本支出预测表" xfId="1628" xr:uid="{B91E7A70-7669-48D9-B386-C3BDC151855D}"/>
    <cellStyle name="差_净现金流预测_资本支出预测表 2" xfId="1629" xr:uid="{D670C64E-35D3-476D-831E-C608EED3016A}"/>
    <cellStyle name="差_净现金流预测_资本支出预测表_Sheet1" xfId="1630" xr:uid="{9360CF0E-E766-4847-B233-3CA9400915F8}"/>
    <cellStyle name="差_利港股份收益法3-27" xfId="1631" xr:uid="{CAA16F23-80E3-4103-82EE-26ABA06699F7}"/>
    <cellStyle name="差_利港股份收益法3-27 2" xfId="1632" xr:uid="{F6EA4994-7191-471E-934D-EFF97E81629F}"/>
    <cellStyle name="差_利港股份收益法3-27_Sheet1" xfId="1633" xr:uid="{F463A76D-1186-46FE-A347-FBA478C9EE5A}"/>
    <cellStyle name="差_利港股份收益法3-27_电力企业收益法表格双辽发电厂" xfId="1634" xr:uid="{C61A6A85-FA77-4375-BF7B-10826AA83CE7}"/>
    <cellStyle name="差_利港股份收益法3-27_电力企业收益法表格双辽发电厂 2" xfId="1635" xr:uid="{34CBFABA-2C0A-44B5-8D8F-0FB2A0A58D7A}"/>
    <cellStyle name="差_利港股份收益法3-27_电力企业收益法表格双辽发电厂_Sheet1" xfId="1636" xr:uid="{510FA321-A671-4847-83E3-44482B75EEDD}"/>
    <cellStyle name="差_利港股份收益法3-27_双鸭山收益法" xfId="1637" xr:uid="{E70F94F2-AA65-49DC-BAFE-D3F1E80CAC9F}"/>
    <cellStyle name="差_利港股份收益法3-27_双鸭山收益法 2" xfId="1638" xr:uid="{08F56DEE-1564-4B43-A04D-A51969EC35B1}"/>
    <cellStyle name="差_利港股份收益法3-27_双鸭山收益法_Sheet1" xfId="1639" xr:uid="{B88C1B2F-7F94-4719-BF95-3A27F6A913A8}"/>
    <cellStyle name="差_明细表-05上海公司" xfId="1640" xr:uid="{254F537E-6914-4421-80C4-9FE7F03D43B8}"/>
    <cellStyle name="差_明细表-05上海公司11111111111" xfId="1641" xr:uid="{5F857769-5610-4307-AC11-341E19B16BF8}"/>
    <cellStyle name="差_评估结果汇总表 (N)" xfId="1642" xr:uid="{5825514B-8AB4-46AB-BFEB-98383D70A713}"/>
    <cellStyle name="差_评估明细表-股份12" xfId="1643" xr:uid="{BFA087F2-1387-4034-BB4A-DEB76A89E0E6}"/>
    <cellStyle name="差_评估明细表-股份12 2" xfId="1644" xr:uid="{349DAAD4-6C2B-42BA-B07A-36451E184DCA}"/>
    <cellStyle name="差_评估明细表-股份12_Sheet1" xfId="1645" xr:uid="{A25CB07B-1CD8-4610-9C20-9BA9FC11D8DA}"/>
    <cellStyle name="差_评估明细表-股份合并按审计调整10.7" xfId="1646" xr:uid="{3C77689F-5C40-4247-A317-381275112A72}"/>
    <cellStyle name="差_评估明细表-股份合并按审计调整10.7 2" xfId="1647" xr:uid="{3626E20D-BC5F-4D98-B70D-E4E3D21B6131}"/>
    <cellStyle name="差_评估明细表-股份合并按审计调整10.7_Sheet1" xfId="1648" xr:uid="{43A90AC9-61AE-49DD-8002-F6225DB528EE}"/>
    <cellStyle name="差_评估明细表-中科信息-成本法-1116" xfId="1649" xr:uid="{0BA43E90-196E-4E04-94BD-60EE790FF4E6}"/>
    <cellStyle name="差_评估明细表-中科信息-成本法-罗定" xfId="1650" xr:uid="{E043AB93-306D-4549-8A64-D01008D6830F}"/>
    <cellStyle name="差_评估申报表(重庆2007.12.31)" xfId="1651" xr:uid="{7EB3F8B4-359B-40B0-B641-DDD6AC08551D}"/>
    <cellStyle name="差_评估申报表(重庆2007.12.31) 2" xfId="1652" xr:uid="{DB738329-4678-4BFC-ABE9-9A1AC66F73B6}"/>
    <cellStyle name="差_评估申报表(重庆2007.12.31) 2 2" xfId="1653" xr:uid="{2544E054-5AFA-42F4-BA83-D3FC98F95A43}"/>
    <cellStyle name="差_评估申报表(重庆2007.12.31) 2_Sheet1" xfId="1654" xr:uid="{92AEF6F7-67D2-472B-9F6B-4CDC073A5277}"/>
    <cellStyle name="差_评估申报表(重庆2007.12.31) 2_人工费表" xfId="1655" xr:uid="{E90F1528-E1BE-4030-8759-98B5B47679E2}"/>
    <cellStyle name="差_评估申报表(重庆2007.12.31) 2_人工费表 2" xfId="1656" xr:uid="{7C06D821-BAB6-4762-904E-56891757C87B}"/>
    <cellStyle name="差_评估申报表(重庆2007.12.31) 2_人工费表_Sheet1" xfId="1657" xr:uid="{79A367DC-4976-435C-A053-24F5E995B4AC}"/>
    <cellStyle name="差_评估申报表(重庆2007.12.31) 3" xfId="1658" xr:uid="{F7B8E962-9F41-4DB2-A2B7-BA212B61EC89}"/>
    <cellStyle name="差_评估申报表(重庆2007.12.31) 3 2" xfId="1659" xr:uid="{B73377E3-5024-49AD-934D-E1FCFC478EC5}"/>
    <cellStyle name="差_评估申报表(重庆2007.12.31) 3_Sheet1" xfId="1660" xr:uid="{F02E1CF7-D83F-4165-BF48-6FB844632A2D}"/>
    <cellStyle name="差_评估申报表(重庆2007.12.31) 3_人工费表" xfId="1661" xr:uid="{102144AD-DC58-4AB8-ABAA-8EDD88D3D039}"/>
    <cellStyle name="差_评估申报表(重庆2007.12.31) 3_人工费表 2" xfId="1662" xr:uid="{06795463-4BFF-47D7-8000-B5809405F5B8}"/>
    <cellStyle name="差_评估申报表(重庆2007.12.31) 3_人工费表_Sheet1" xfId="1663" xr:uid="{CD667546-5CFA-4E62-962D-053BE8A28F1E}"/>
    <cellStyle name="差_评估申报表(重庆2007.12.31) 4" xfId="1664" xr:uid="{6A0697B6-1131-4D77-AEF9-644D72282AE9}"/>
    <cellStyle name="差_评估申报表(重庆2007.12.31)_Sheet1" xfId="1665" xr:uid="{1D521085-FC5E-4914-84A9-20B6790290D5}"/>
    <cellStyle name="差_评估申报表-潮州远泰0112" xfId="1666" xr:uid="{05DDDB5C-FCD8-4DBB-AFDD-4317C03ACBEC}"/>
    <cellStyle name="差_评估申报表-潮州远泰0112 2" xfId="1667" xr:uid="{2443E8D8-B0FF-4F3F-B716-FE0FBD736883}"/>
    <cellStyle name="差_评估申报表-潮州远泰0112_Sheet1" xfId="1668" xr:uid="{71FFEB5A-AFC1-41D6-9DE7-7A9817BE7C78}"/>
    <cellStyle name="差_其他应付款" xfId="1669" xr:uid="{7F564B7A-595F-40FA-9925-1CC9DEDB6798}"/>
    <cellStyle name="差_其他应付款_其他应付款" xfId="1670" xr:uid="{38D65CE0-826E-46BA-8EF2-5914C0A786E4}"/>
    <cellStyle name="差_其他应付款_其他应收款" xfId="1671" xr:uid="{C501A9E0-0420-4981-BC41-4F5F8586E1FD}"/>
    <cellStyle name="差_其他应付款_应付账款" xfId="1672" xr:uid="{90D28FF4-9B82-4C64-BFD0-353F607C2EBB}"/>
    <cellStyle name="差_其他应付款_应收账款" xfId="1673" xr:uid="{25965D90-701F-484D-BE99-2C4C76E79527}"/>
    <cellStyle name="差_其他应付款_预付账款" xfId="1674" xr:uid="{89F7D1D8-EA64-4648-9A62-6FDFE9B0CF82}"/>
    <cellStyle name="差_其他应收款" xfId="1675" xr:uid="{920399DF-EA1B-4B90-ACA5-243089545E19}"/>
    <cellStyle name="差_其他应收款_1" xfId="1676" xr:uid="{BAD76F57-8C75-4CDA-A998-10A2E361369C}"/>
    <cellStyle name="差_青铝股份非经营、负债明细" xfId="1677" xr:uid="{2D1AC2D7-E1E5-4F06-86F6-E8D6A90FBE20}"/>
    <cellStyle name="差_青铝股份非经营、负债明细 2" xfId="1678" xr:uid="{0C87FD62-D04D-4E45-9C67-278176EFCD01}"/>
    <cellStyle name="差_青铝股份非经营、负债明细_Sheet1" xfId="1679" xr:uid="{C7A0F26E-569A-4768-BC3A-77897D491381}"/>
    <cellStyle name="差_权益法－研发费用" xfId="1680" xr:uid="{A8685A4D-C50B-4B5B-8856-4969A5A1B3D6}"/>
    <cellStyle name="差_人工费用" xfId="1681" xr:uid="{5E1C1C67-15C4-4C82-AA6E-E0AF63726CF6}"/>
    <cellStyle name="差_人工费用 2" xfId="1682" xr:uid="{0435FDED-25ED-4B86-8403-A51F1D3CE9EC}"/>
    <cellStyle name="差_人工费用_Sheet1" xfId="1683" xr:uid="{D984659F-6020-4BA3-8633-9BB4846E6C3E}"/>
    <cellStyle name="差_人工费用表" xfId="1684" xr:uid="{7BA9253D-99F3-4CA0-B072-E4BF3AD1B4D8}"/>
    <cellStyle name="差_人工费用表 2" xfId="1685" xr:uid="{4E68BB3E-1443-42CF-A4D0-C386B54AC827}"/>
    <cellStyle name="差_人工费用表_Sheet1" xfId="1686" xr:uid="{B85013B5-B262-41CC-9408-8FA9A85383AB}"/>
    <cellStyle name="差_上海-收益法12-20" xfId="1687" xr:uid="{ED8F3E50-7FDC-4782-93E3-92C60BE3DA35}"/>
    <cellStyle name="差_上海-收益法12-20 2" xfId="1688" xr:uid="{436ADFDC-F53E-404D-A132-D55E080A629F}"/>
    <cellStyle name="差_上海-收益法12-20 2 2" xfId="1689" xr:uid="{BDF39FC9-8347-4DB3-A622-C84F079978EF}"/>
    <cellStyle name="差_上海-收益法12-20 2_Sheet1" xfId="1690" xr:uid="{1FA764F0-E21D-444A-98F2-0CF03259D032}"/>
    <cellStyle name="差_上海-收益法12-20 2_电力企业收益法表格双辽发电厂" xfId="1691" xr:uid="{693C0C28-AB79-4BB8-AE0F-79E023AB804D}"/>
    <cellStyle name="差_上海-收益法12-20 2_电力企业收益法表格双辽发电厂 2" xfId="1692" xr:uid="{A3BCA8BC-AC6E-402E-A887-38DE357DE4FA}"/>
    <cellStyle name="差_上海-收益法12-20 2_电力企业收益法表格双辽发电厂_Sheet1" xfId="1693" xr:uid="{9B17A5F9-E235-4CB1-95A7-D98F89D3FB7C}"/>
    <cellStyle name="差_上海-收益法12-20 2_人工费表" xfId="1694" xr:uid="{E78859BD-5AA8-4113-8C98-8D40D85C9F35}"/>
    <cellStyle name="差_上海-收益法12-20 2_人工费表 2" xfId="1695" xr:uid="{80BB40CA-936B-479E-AC20-59D6740ABEBB}"/>
    <cellStyle name="差_上海-收益法12-20 2_人工费表_Sheet1" xfId="1696" xr:uid="{AE056CE8-F313-4D49-8832-346F140DA340}"/>
    <cellStyle name="差_上海-收益法12-20 2_人工费表_电力企业收益法表格双辽发电厂" xfId="1697" xr:uid="{94386139-DB47-4412-8AFC-64740CB1595D}"/>
    <cellStyle name="差_上海-收益法12-20 2_人工费表_电力企业收益法表格双辽发电厂 2" xfId="1698" xr:uid="{E6F003C9-033C-4666-8E29-B63E95C143BC}"/>
    <cellStyle name="差_上海-收益法12-20 2_人工费表_电力企业收益法表格双辽发电厂_Sheet1" xfId="1699" xr:uid="{482D51B7-4D1B-40F1-99B5-5E462EB4AABA}"/>
    <cellStyle name="差_上海-收益法12-20 2_人工费表_双鸭山收益法" xfId="1700" xr:uid="{0D867CC1-1DCC-4316-9526-5F6CBA795C06}"/>
    <cellStyle name="差_上海-收益法12-20 2_人工费表_双鸭山收益法 2" xfId="1701" xr:uid="{9BE3D43A-401D-4D82-9EE2-8837FA28F7D4}"/>
    <cellStyle name="差_上海-收益法12-20 2_人工费表_双鸭山收益法_Sheet1" xfId="1702" xr:uid="{AB407056-C2F0-47A7-B5B0-25820F735D09}"/>
    <cellStyle name="差_上海-收益法12-20 2_双鸭山收益法" xfId="1703" xr:uid="{0BADB7F8-96C9-46DD-86E8-6739BD5A1FB4}"/>
    <cellStyle name="差_上海-收益法12-20 2_双鸭山收益法 2" xfId="1704" xr:uid="{804F48EF-F319-48D8-A707-ED2A297941AB}"/>
    <cellStyle name="差_上海-收益法12-20 2_双鸭山收益法_Sheet1" xfId="1705" xr:uid="{D709189D-E8AD-42D4-AA17-539810478692}"/>
    <cellStyle name="差_上海-收益法12-20 3" xfId="1706" xr:uid="{CDE1417D-14DE-4AFB-9F39-933D51AA0619}"/>
    <cellStyle name="差_上海-收益法12-20 3 2" xfId="1707" xr:uid="{E957965A-E33A-4D44-8A9F-51709B5D48EA}"/>
    <cellStyle name="差_上海-收益法12-20 3_Sheet1" xfId="1708" xr:uid="{396A3876-1F16-45AC-B9EA-2FE7D7012917}"/>
    <cellStyle name="差_上海-收益法12-20 3_电力企业收益法表格双辽发电厂" xfId="1709" xr:uid="{0FBB7001-D9EF-4D79-BB4D-C5F313C1E072}"/>
    <cellStyle name="差_上海-收益法12-20 3_电力企业收益法表格双辽发电厂 2" xfId="1710" xr:uid="{F5EC3C09-900B-4F87-8F0D-3363119E54E1}"/>
    <cellStyle name="差_上海-收益法12-20 3_电力企业收益法表格双辽发电厂_Sheet1" xfId="1711" xr:uid="{AF179494-E557-4ECE-A05E-43453CB41EE8}"/>
    <cellStyle name="差_上海-收益法12-20 3_人工费表" xfId="1712" xr:uid="{6E9C7A59-FDE8-4E6E-ADD9-9CD6AB2EE494}"/>
    <cellStyle name="差_上海-收益法12-20 3_人工费表 2" xfId="1713" xr:uid="{3D897465-EF17-4628-949B-2E6226DB3883}"/>
    <cellStyle name="差_上海-收益法12-20 3_人工费表_Sheet1" xfId="1714" xr:uid="{D716C335-667B-44B1-B043-7B40F72D5B84}"/>
    <cellStyle name="差_上海-收益法12-20 3_人工费表_电力企业收益法表格双辽发电厂" xfId="1715" xr:uid="{72064568-07F1-4ABF-96BE-38B81146EEED}"/>
    <cellStyle name="差_上海-收益法12-20 3_人工费表_电力企业收益法表格双辽发电厂 2" xfId="1716" xr:uid="{ED7FFF3D-BF9E-44BB-9254-4C5FBBD9C340}"/>
    <cellStyle name="差_上海-收益法12-20 3_人工费表_电力企业收益法表格双辽发电厂_Sheet1" xfId="1717" xr:uid="{A74D8FD8-3E62-4DE0-9A2A-F457FD2BB1A1}"/>
    <cellStyle name="差_上海-收益法12-20 3_人工费表_双鸭山收益法" xfId="1718" xr:uid="{23AA1D2C-8B18-48E0-87A0-D8FF57F376AE}"/>
    <cellStyle name="差_上海-收益法12-20 3_人工费表_双鸭山收益法 2" xfId="1719" xr:uid="{1FE393A8-7BF5-4B54-8A77-3ACD6E0A47FF}"/>
    <cellStyle name="差_上海-收益法12-20 3_人工费表_双鸭山收益法_Sheet1" xfId="1720" xr:uid="{1CF3124C-82F3-4B7C-A4E2-9C7B5A12BF5A}"/>
    <cellStyle name="差_上海-收益法12-20 3_双鸭山收益法" xfId="1721" xr:uid="{8D13C374-DAF9-423F-90DC-C5870DFA7B89}"/>
    <cellStyle name="差_上海-收益法12-20 3_双鸭山收益法 2" xfId="1722" xr:uid="{90CA42A4-15C5-4802-B4D7-6E3385514713}"/>
    <cellStyle name="差_上海-收益法12-20 3_双鸭山收益法_Sheet1" xfId="1723" xr:uid="{9D0C0521-8D28-4E22-92F3-D8DE12F32903}"/>
    <cellStyle name="差_上海-收益法12-20 4" xfId="1724" xr:uid="{579E675D-655A-4369-836A-37A5AB730888}"/>
    <cellStyle name="差_上海-收益法12-20_Sheet1" xfId="1725" xr:uid="{E3E254D5-802D-4963-BCE5-26DEC543FA49}"/>
    <cellStyle name="差_上海所技术评估计算模型" xfId="1726" xr:uid="{3B07C53F-7CD6-4A2B-B5AA-0CCB8EC9479D}"/>
    <cellStyle name="差_上海所技术评估计算模型 10" xfId="1727" xr:uid="{51AB7C66-1D76-4180-AC16-890178775FDB}"/>
    <cellStyle name="差_上海所技术评估计算模型 2" xfId="1728" xr:uid="{544AEE23-5309-4DA0-8197-68C0635B1206}"/>
    <cellStyle name="差_上海所技术评估计算模型 2_电力企业收益法表格双辽发电厂" xfId="1729" xr:uid="{4C24AB37-4ED9-46DA-9BFD-7B076CD4B8B9}"/>
    <cellStyle name="差_上海所技术评估计算模型 2_人工费表" xfId="1730" xr:uid="{3F0CDF67-2F62-4E4A-BEC0-F3C8A9F035D5}"/>
    <cellStyle name="差_上海所技术评估计算模型 2_人工费表_电力企业收益法表格双辽发电厂" xfId="1731" xr:uid="{2BC46D61-4838-4328-8545-AE7F1FD3BCA3}"/>
    <cellStyle name="差_上海所技术评估计算模型 2_人工费表_双鸭山收益法" xfId="1732" xr:uid="{B524FFAD-EB81-4F50-BE01-E6457EBBDD40}"/>
    <cellStyle name="差_上海所技术评估计算模型 2_双鸭山收益法" xfId="1733" xr:uid="{D4E1C921-0B2D-4A7F-A3FC-5D9850DB6C7C}"/>
    <cellStyle name="差_上海所技术评估计算模型 3" xfId="1734" xr:uid="{3F7A8A64-F468-491C-A1ED-42BD82B5DFC2}"/>
    <cellStyle name="差_上海所技术评估计算模型 3_电力企业收益法表格双辽发电厂" xfId="1735" xr:uid="{2A7CE32A-0A3B-4207-AFA0-AEB77371C857}"/>
    <cellStyle name="差_上海所技术评估计算模型 3_人工费表" xfId="1736" xr:uid="{9951C79F-D414-4270-83EB-F422D73346DE}"/>
    <cellStyle name="差_上海所技术评估计算模型 3_人工费表_电力企业收益法表格双辽发电厂" xfId="1737" xr:uid="{6AF4AA31-11D1-4044-8496-A312B3DD196D}"/>
    <cellStyle name="差_上海所技术评估计算模型 3_人工费表_双鸭山收益法" xfId="1738" xr:uid="{EA5267B8-FE27-4E04-9FC2-18B7D58422F1}"/>
    <cellStyle name="差_上海所技术评估计算模型 3_双鸭山收益法" xfId="1739" xr:uid="{949AFC0B-0D7A-4EEF-B23C-08B1E59A155C}"/>
    <cellStyle name="差_上海所技术评估计算模型 4" xfId="1740" xr:uid="{4264DDD3-8194-4EF1-B33D-8A95CFB45AA8}"/>
    <cellStyle name="差_上海所技术评估计算模型 5" xfId="1741" xr:uid="{78B64433-8F7B-4805-8A94-432F7DD98513}"/>
    <cellStyle name="差_上海所技术评估计算模型 6" xfId="1742" xr:uid="{BAE75784-2B91-42B5-8E52-892C0976F9B2}"/>
    <cellStyle name="差_上海所技术评估计算模型 7" xfId="1743" xr:uid="{DE9CA3B1-C6A6-49ED-8804-97C68F49CFBB}"/>
    <cellStyle name="差_上海所技术评估计算模型 8" xfId="1744" xr:uid="{5792F9A8-134B-4AA8-A703-C587868F014D}"/>
    <cellStyle name="差_上海所技术评估计算模型 9" xfId="1745" xr:uid="{ACC4B639-CCA2-4B51-8641-64B2211024CF}"/>
    <cellStyle name="差_上海所技术评估计算模型_Sheet1" xfId="1746" xr:uid="{35D4F028-3302-47F0-A154-9D35B6E62480}"/>
    <cellStyle name="差_设备—非经性资产" xfId="1747" xr:uid="{5E8771B3-FC5E-4114-B27A-E13BBF580008}"/>
    <cellStyle name="差_设备—非经性资产 2" xfId="1748" xr:uid="{FACAB2AB-16C8-413A-98D2-78B4412500A7}"/>
    <cellStyle name="差_设备—非经性资产_Sheet1" xfId="1749" xr:uid="{6C630367-4762-45EA-AE9B-932E8201E9D3}"/>
    <cellStyle name="差_设备评估明细表（9.24韩）" xfId="1750" xr:uid="{2853B775-AE27-4A5B-B801-55EFFCCD9EA1}"/>
    <cellStyle name="差_设备评估明细表（9.24韩） 2" xfId="1751" xr:uid="{9D042BE0-E8CE-48C8-BD39-0E5C6110BC3A}"/>
    <cellStyle name="差_设备评估明细表（9.24韩）_Sheet1" xfId="1752" xr:uid="{2628BE33-854D-4246-9262-6C3F3E42FC5C}"/>
    <cellStyle name="差_收益法表（远泰）-0116" xfId="1753" xr:uid="{6C1F405A-4173-424F-B3E7-B89649ECDEA6}"/>
    <cellStyle name="差_收益法表（远泰）-0116 2" xfId="1754" xr:uid="{E2FD338E-8877-4009-B5AD-5DEACB0E1885}"/>
    <cellStyle name="差_收益法表（远泰）-0116_Sheet1" xfId="1755" xr:uid="{F69D3EEE-BDB8-42AF-93C8-A08581CF27A4}"/>
    <cellStyle name="差_收益法计算表" xfId="1756" xr:uid="{C74A6F0A-7176-4DEC-912D-47A09928BA78}"/>
    <cellStyle name="差_收益法计算表1.6" xfId="1757" xr:uid="{001EBB17-2A46-45E1-96D2-5F967B1C2A3F}"/>
    <cellStyle name="差_收益法明细表20100506-李雪飞" xfId="1758" xr:uid="{A9AFCC18-BB00-4EED-86BA-BECF835E4508}"/>
    <cellStyle name="差_收益法明细表20100506-李雪飞 2" xfId="1759" xr:uid="{71F43573-96B8-4B40-9FBA-28A2E580588B}"/>
    <cellStyle name="差_收益法明细表20100506-李雪飞_Sheet1" xfId="1760" xr:uid="{33B97B91-C158-41AC-8B94-3243E9CB50E4}"/>
    <cellStyle name="差_收益法模型表" xfId="1761" xr:uid="{8776A73F-F1D0-4693-A4F3-3B5BF7BBC6CC}"/>
    <cellStyle name="差_收益法模型表1" xfId="1762" xr:uid="{8246756B-6278-4226-BB6F-1BDEFA18AB43}"/>
    <cellStyle name="差_收益法模型表1 2" xfId="1763" xr:uid="{E95A6EDD-FDCD-4136-A5F1-C340D325E5E0}"/>
    <cellStyle name="差_收益法模型表1_Sheet1" xfId="1764" xr:uid="{298BA90B-B667-4ECF-9623-FEE302C8C62E}"/>
    <cellStyle name="差_收益法模型表-开发公司-修改" xfId="1765" xr:uid="{CF4D7D9D-74A7-4A30-B808-AD5EE56BE6AA}"/>
    <cellStyle name="差_收益法模型表-开发公司-修改 2" xfId="1766" xr:uid="{0042C5CA-4259-4848-AADE-5225EB0CCFD1}"/>
    <cellStyle name="差_收益法模型表-开发公司-修改_Sheet1" xfId="1767" xr:uid="{39D7EE8E-D0F2-4735-BDFF-6B552225D8B0}"/>
    <cellStyle name="差_收益法模型表-青铜峡铝业0911" xfId="1768" xr:uid="{A4EF8EB0-4A50-49E1-B092-4C843236DA78}"/>
    <cellStyle name="差_收益法模型表-青铜峡铝业0911 2" xfId="1769" xr:uid="{5EB82E2C-19E8-48FA-9D53-CD16C982257D}"/>
    <cellStyle name="差_收益法模型表-青铜峡铝业0911_Sheet1" xfId="1770" xr:uid="{3CEAC576-D6F8-4441-BDA5-A3E74DA80AD5}"/>
    <cellStyle name="差_收益法评估表格1122" xfId="1771" xr:uid="{1A068FB9-1191-4BF2-8FEE-25070F212C3B}"/>
    <cellStyle name="差_收益法评估表格1122_电力企业收益法表格双辽发电厂" xfId="1772" xr:uid="{D4874077-43D3-4322-89BF-65F9E25CDACE}"/>
    <cellStyle name="差_收益法评估表格1122_管理费用预测表" xfId="1773" xr:uid="{F985EC33-F660-4070-A84E-BD88442824A0}"/>
    <cellStyle name="差_收益法评估表格1122_收益法明细表20100506-李雪飞" xfId="1774" xr:uid="{E2594082-B6B8-4D7E-8D5E-334A68240C41}"/>
    <cellStyle name="差_收益法评估表格1122_收益法评估申报表(武汉燃料)2010-4-25" xfId="1775" xr:uid="{723F6657-99D1-48F7-A440-D34A4C2845AF}"/>
    <cellStyle name="差_收益法评估表格1122_收益法评估申报表(武汉燃料)2010-4-26" xfId="1776" xr:uid="{80D10D80-BA36-4CF7-8295-1164B30D3B97}"/>
    <cellStyle name="差_收益法评估表格1122_双鸭山收益法" xfId="1777" xr:uid="{C27B75D2-DD52-4CF0-9495-17254143CB7B}"/>
    <cellStyle name="差_收益法评估表格1122_资本支出预测表" xfId="1778" xr:uid="{FCEB02DD-F156-4ADF-BAB6-49BB6B79D785}"/>
    <cellStyle name="差_收益法评估表格20071010" xfId="1779" xr:uid="{FFD67A96-CDFB-4F1D-9B51-1E193C78069D}"/>
    <cellStyle name="差_收益法评估申报表(武汉燃料)2010-4-25" xfId="1780" xr:uid="{188BB9A0-EC0F-4FD3-8633-9EE98CA804C5}"/>
    <cellStyle name="差_收益法评估申报表(武汉燃料)2010-4-26" xfId="1781" xr:uid="{7ED78ACA-C79A-4DE9-A885-647BD0013430}"/>
    <cellStyle name="差_收益法评估申报表9.15年" xfId="1782" xr:uid="{1FECE3CA-CD31-4F4B-86BE-F3FE2CCC69C9}"/>
    <cellStyle name="差_收益法申报表－报送" xfId="1783" xr:uid="{8921B631-9B23-4CA8-AE0A-665473D4590A}"/>
    <cellStyle name="差_收益法折现率模型" xfId="1784" xr:uid="{6A0826EB-4C0D-4F2E-94F6-72184EC44EF6}"/>
    <cellStyle name="差_收益法折现率模型 2" xfId="1785" xr:uid="{C0D68993-2626-4AE1-83A6-A79D0328B0D0}"/>
    <cellStyle name="差_收益法折现率模型_Sheet1" xfId="1786" xr:uid="{7CE03A14-7621-45B9-94FB-56041F772EEB}"/>
    <cellStyle name="差_收益预测表" xfId="1787" xr:uid="{84D7A80A-FB6B-4E0F-A9A6-61772BE56F14}"/>
    <cellStyle name="差_收益预测表 2" xfId="1788" xr:uid="{4A5A2B94-5915-43B1-BF0B-0E6CF59310BE}"/>
    <cellStyle name="差_收益预测表_Sheet1" xfId="1789" xr:uid="{6A5FE639-99AE-4E97-BF3D-470849AD0489}"/>
    <cellStyle name="差_收益预测表_管理费用预测表" xfId="1790" xr:uid="{391638DC-F50A-4769-BCBB-8B0A37E39DBC}"/>
    <cellStyle name="差_收益预测表_管理费用预测表 2" xfId="1791" xr:uid="{3F471A42-9F7B-4499-8F56-EFEBDB65F2E2}"/>
    <cellStyle name="差_收益预测表_管理费用预测表_Sheet1" xfId="1792" xr:uid="{AEF8D2A3-5A89-4A7B-8901-3B1FFFA7CC14}"/>
    <cellStyle name="差_收益预测表_收益法明细表20100506-李雪飞" xfId="1793" xr:uid="{F107DBA7-60F1-4B91-8DE4-B119A9323E10}"/>
    <cellStyle name="差_收益预测表_收益法明细表20100506-李雪飞 2" xfId="1794" xr:uid="{567C749E-5D91-48A9-841A-44C988AAB591}"/>
    <cellStyle name="差_收益预测表_收益法明细表20100506-李雪飞_Sheet1" xfId="1795" xr:uid="{DC4476CC-32C2-448B-BBFD-3BCDF6232493}"/>
    <cellStyle name="差_收益预测表_收益法评估申报表(武汉燃料)2010-4-25" xfId="1796" xr:uid="{91FCB1D1-46F0-4AE2-86CD-68D35746CB5F}"/>
    <cellStyle name="差_收益预测表_收益法评估申报表(武汉燃料)2010-4-26" xfId="1797" xr:uid="{08EB39D5-A8E3-44D0-8BE6-F70872E30AFF}"/>
    <cellStyle name="差_收益预测表_资本支出预测表" xfId="1798" xr:uid="{919A81A9-D4E7-4AC8-804E-E6FADD624186}"/>
    <cellStyle name="差_收益预测表_资本支出预测表 2" xfId="1799" xr:uid="{41506BF3-6F6F-4608-890F-811F356EFDC7}"/>
    <cellStyle name="差_收益预测表_资本支出预测表_Sheet1" xfId="1800" xr:uid="{14743A02-0DA7-4822-8002-A987B2C18BAA}"/>
    <cellStyle name="差_收益预测表1" xfId="1801" xr:uid="{80B30804-88D3-4C87-8F5D-FB8A36F3C6A9}"/>
    <cellStyle name="差_收益预测表1 2" xfId="1802" xr:uid="{3C586F7E-ADDC-42E2-9AB2-041F5149F2DE}"/>
    <cellStyle name="差_收益预测表1_Sheet1" xfId="1803" xr:uid="{14C6E3F6-A47C-462A-919E-12C79C6DF309}"/>
    <cellStyle name="差_收益预测表1_管理费用预测表" xfId="1804" xr:uid="{D4114598-3F77-4C09-BA56-A9F6540C53B6}"/>
    <cellStyle name="差_收益预测表1_管理费用预测表 2" xfId="1805" xr:uid="{A680D1EC-FDAC-47A7-8E4C-86E8A0E54747}"/>
    <cellStyle name="差_收益预测表1_管理费用预测表_Sheet1" xfId="1806" xr:uid="{EF231678-2C29-424D-B01F-7AC7C464FFC3}"/>
    <cellStyle name="差_收益预测表1_收益法明细表20100506-李雪飞" xfId="1807" xr:uid="{704E22DF-5118-4DD3-93CD-F9AEDBF70C18}"/>
    <cellStyle name="差_收益预测表1_收益法明细表20100506-李雪飞 2" xfId="1808" xr:uid="{9CEBEB59-6D8C-49C6-A574-4C9FA60C3BE1}"/>
    <cellStyle name="差_收益预测表1_收益法明细表20100506-李雪飞_Sheet1" xfId="1809" xr:uid="{B4DDAC14-BF59-401B-A1A2-180C584D34DC}"/>
    <cellStyle name="差_收益预测表1_收益法评估申报表(武汉燃料)2010-4-25" xfId="1810" xr:uid="{2E751F4A-33F6-4B23-A1A4-55A41F670C57}"/>
    <cellStyle name="差_收益预测表1_收益法评估申报表(武汉燃料)2010-4-26" xfId="1811" xr:uid="{89D6090A-A9F4-4ABC-A75E-99E4F6D44DAE}"/>
    <cellStyle name="差_收益预测表1_资本支出预测表" xfId="1812" xr:uid="{BBB5B123-7B28-4A43-B5C7-4E12C458C237}"/>
    <cellStyle name="差_收益预测表1_资本支出预测表 2" xfId="1813" xr:uid="{DF414B4D-066E-4DCC-8078-D7A25775117D}"/>
    <cellStyle name="差_收益预测表1_资本支出预测表_Sheet1" xfId="1814" xr:uid="{C9EB5FAB-FF9A-464B-8E84-6F132159A703}"/>
    <cellStyle name="差_收益预测表--成本" xfId="1815" xr:uid="{29A72147-427D-4776-868B-19DB8A95B67B}"/>
    <cellStyle name="差_收益预测表--成本 2" xfId="1816" xr:uid="{932015AC-F902-40AF-B13E-ED334C7EE6BC}"/>
    <cellStyle name="差_收益预测表--成本_Sheet1" xfId="1817" xr:uid="{2C80875A-1FCF-47A7-B30F-E4F953667BFC}"/>
    <cellStyle name="差_收益预测表--成本_管理费用预测表" xfId="1818" xr:uid="{FF30B4A5-62BD-4097-A480-556B9AF112E2}"/>
    <cellStyle name="差_收益预测表--成本_管理费用预测表 2" xfId="1819" xr:uid="{CB88B3F6-699B-416F-B866-D9B3CFACB219}"/>
    <cellStyle name="差_收益预测表--成本_管理费用预测表_Sheet1" xfId="1820" xr:uid="{392ACC30-E20B-471B-BCD7-DDE4B82B59B0}"/>
    <cellStyle name="差_收益预测表--成本_收益法明细表20100506-李雪飞" xfId="1821" xr:uid="{C1706846-EDB5-4304-A45A-2E513241569B}"/>
    <cellStyle name="差_收益预测表--成本_收益法明细表20100506-李雪飞 2" xfId="1822" xr:uid="{EE5A3A07-5627-4E59-A9E9-1E385C1A62FD}"/>
    <cellStyle name="差_收益预测表--成本_收益法明细表20100506-李雪飞_Sheet1" xfId="1823" xr:uid="{BFAE18EF-789A-4EE4-B52C-D406BCC680FF}"/>
    <cellStyle name="差_收益预测表--成本_收益法评估申报表(武汉燃料)2010-4-25" xfId="1824" xr:uid="{5F52E308-0B5E-4D06-94C8-D4C51B9EA0FA}"/>
    <cellStyle name="差_收益预测表--成本_收益法评估申报表(武汉燃料)2010-4-26" xfId="1825" xr:uid="{E7AF9EE8-489C-4746-BF96-C8CE0643945F}"/>
    <cellStyle name="差_收益预测表--成本_资本支出预测表" xfId="1826" xr:uid="{8DDEC241-09EC-4A4D-98CE-8EE9DD164726}"/>
    <cellStyle name="差_收益预测表--成本_资本支出预测表 2" xfId="1827" xr:uid="{AE26DC27-919E-40C0-A08A-A7413D95877A}"/>
    <cellStyle name="差_收益预测表--成本_资本支出预测表_Sheet1" xfId="1828" xr:uid="{3564A309-E49C-4673-B239-1666F39D91C8}"/>
    <cellStyle name="差_首都航空模型-普华永道" xfId="1829" xr:uid="{CE00A437-8CB0-4A0C-829B-75A6DA4700AA}"/>
    <cellStyle name="差_首都航空模型-普华永道_3-收益法评估表" xfId="1830" xr:uid="{0D7CDC61-FFDF-46A5-9915-3B08C169DD1D}"/>
    <cellStyle name="差_天津航空模型V1.34" xfId="1831" xr:uid="{BFD55787-0791-4026-A787-66B0052BBA22}"/>
    <cellStyle name="差_天津航空模型V1.34_3-收益法评估表" xfId="1832" xr:uid="{08F6D3C7-9600-4CCB-957E-A66507C655BD}"/>
    <cellStyle name="差_无形资产" xfId="1833" xr:uid="{7F5B8653-9681-4D10-A319-D8BD2CDB7554}"/>
    <cellStyle name="差_现金流表" xfId="1834" xr:uid="{D07EC023-4D7F-42F0-9E57-3D6BF1C1DCC9}"/>
    <cellStyle name="差_销售收入" xfId="1835" xr:uid="{6CB09F34-E200-4077-A906-F6D8AEF8C312}"/>
    <cellStyle name="差_新华收益法申报表-制造业-复杂2" xfId="1836" xr:uid="{AC2160CB-78E6-4239-B315-15A83844679A}"/>
    <cellStyle name="差_应付账款" xfId="1837" xr:uid="{E4127F75-E92C-4F87-AFB6-90A208F73165}"/>
    <cellStyle name="差_应付账款_1" xfId="1838" xr:uid="{2E497526-33B6-4F61-AC77-C29F1873D678}"/>
    <cellStyle name="差_应收账款" xfId="1839" xr:uid="{6524010F-1D01-4902-BBFA-FE6F0221BCD6}"/>
    <cellStyle name="差_应收账款_1" xfId="1840" xr:uid="{C2DB41C5-357D-493A-9D3D-967154242551}"/>
    <cellStyle name="差_永川火电收益法表20090228" xfId="1841" xr:uid="{E46D40D3-793F-4173-971C-794C5B19C2C2}"/>
    <cellStyle name="差_预付款项" xfId="1842" xr:uid="{0C5D877C-575E-4953-B7A9-35FCA6109B8D}"/>
    <cellStyle name="差_预收款项" xfId="1843" xr:uid="{B3681FE6-7730-4658-AA54-9BE3E48D3422}"/>
    <cellStyle name="差_折旧" xfId="1844" xr:uid="{25961D08-B7E4-4418-8C42-13F4A7C01388}"/>
    <cellStyle name="差_折现率wind计算模型-火电模型" xfId="1845" xr:uid="{AC89C107-EC29-471F-BADD-CA5ECDA0B328}"/>
    <cellStyle name="差_折现率wind计算模型-火电模型 2" xfId="1846" xr:uid="{61903DC3-6F4F-4487-8CF4-3D772547CD47}"/>
    <cellStyle name="差_折现率wind计算模型-火电模型_Sheet1" xfId="1847" xr:uid="{D4845B74-D846-41FE-889E-BBE6B8A5BC61}"/>
    <cellStyle name="差_折现率wind计算模型-新版" xfId="1848" xr:uid="{F64F75E8-76F8-486A-888A-39E3F66555BA}"/>
    <cellStyle name="差_折现率wind计算模型-新版 2" xfId="1849" xr:uid="{965168C5-EFA5-4BF7-9C6D-5080984B3E90}"/>
    <cellStyle name="差_折现率wind计算模型-新版_Sheet1" xfId="1850" xr:uid="{32AED5E3-D67C-4BF0-B69D-DD77E3D8D505}"/>
    <cellStyle name="差_折现率wind计算模型-新版_电力企业收益法表格双辽发电厂" xfId="1851" xr:uid="{580218ED-FFED-43DA-A3B1-E57A4A0901DC}"/>
    <cellStyle name="差_折现率wind计算模型-新版_电力企业收益法表格双辽发电厂 2" xfId="1852" xr:uid="{72A5AB07-C528-444A-AF0F-197E4C35747A}"/>
    <cellStyle name="差_折现率wind计算模型-新版_电力企业收益法表格双辽发电厂_Sheet1" xfId="1853" xr:uid="{D12170A8-294A-422F-819E-4B069E044072}"/>
    <cellStyle name="差_折现率wind计算模型-新版_双鸭山收益法" xfId="1854" xr:uid="{524EF0E1-CD19-4A4C-BF2C-3F0CF4B574A0}"/>
    <cellStyle name="差_折现率wind计算模型-新版_双鸭山收益法 2" xfId="1855" xr:uid="{13F5F734-D404-4D31-9F0D-09C5E298EFF1}"/>
    <cellStyle name="差_折现率wind计算模型-新版_双鸭山收益法_Sheet1" xfId="1856" xr:uid="{2C6452EE-CE5A-416B-BB4C-2C36AEE51B90}"/>
    <cellStyle name="差_折现率计算模型" xfId="1857" xr:uid="{2A5DCC83-E8BA-45DD-BFBC-A12782ADE20C}"/>
    <cellStyle name="差_折现率计算模型 2" xfId="1858" xr:uid="{6809BAD3-9284-4122-95EF-36BFD86387D3}"/>
    <cellStyle name="差_折现率计算模型_Sheet1" xfId="1859" xr:uid="{C0EBF67E-F83B-449B-B6A5-F9FE602F95FC}"/>
    <cellStyle name="差_折现率-数值版-航空" xfId="1860" xr:uid="{6F2B6E05-8F4F-48E6-B915-90CF37BC1671}"/>
    <cellStyle name="差_折现率-数值版-航空_3-收益法评估表" xfId="1861" xr:uid="{2FB2715C-C5A3-469C-B7F4-8911C648E068}"/>
    <cellStyle name="差_制造业收益法模型表" xfId="1862" xr:uid="{C3BF7801-C899-499E-B789-3F6AED676D5A}"/>
    <cellStyle name="差_制造业收益法模型表 2" xfId="1863" xr:uid="{C865EEAD-4F05-46BF-BCC2-EDB4C4A13CE9}"/>
    <cellStyle name="差_制造业收益法模型表（财务2。7）" xfId="1864" xr:uid="{57856583-CE1C-4484-AE13-0DF33EB84425}"/>
    <cellStyle name="差_制造业收益法模型表（财务2。7） 2" xfId="1865" xr:uid="{0A902D0E-B00E-476E-A5F4-881DBBFB4A12}"/>
    <cellStyle name="差_制造业收益法模型表（财务2。7）_Sheet1" xfId="1866" xr:uid="{A9493642-30AE-4C32-A15B-98F1981E39B9}"/>
    <cellStyle name="差_制造业收益法模型表_Sheet1" xfId="1867" xr:uid="{F37C9D9F-34BD-468D-A39A-A110D174BE73}"/>
    <cellStyle name="差_中卫生物评估明细表(中卫2008)" xfId="1868" xr:uid="{5FBADCC0-88E1-4A76-9470-69E7D2CD07A8}"/>
    <cellStyle name="差_中卫生物评估明细表(中卫2008) 2" xfId="1869" xr:uid="{BF3413D4-B4D4-43B8-874F-3A60FB795FE2}"/>
    <cellStyle name="差_中卫生物评估明细表(中卫2008)_Sheet1" xfId="1870" xr:uid="{41919446-5C06-4F17-80BB-7ADA9632C64C}"/>
    <cellStyle name="差_中卫生物评估明细表(中卫2008)_电力企业收益法表格双辽发电厂" xfId="1871" xr:uid="{A11F32C7-C6D8-4402-98D2-EFC28F132AF4}"/>
    <cellStyle name="差_中卫生物评估明细表(中卫2008)_电力企业收益法表格双辽发电厂 2" xfId="1872" xr:uid="{851B0D6B-72A4-45D9-BC24-79A9CDAE183B}"/>
    <cellStyle name="差_中卫生物评估明细表(中卫2008)_电力企业收益法表格双辽发电厂_Sheet1" xfId="1873" xr:uid="{EA98C568-B9AC-47BA-AA0C-AD97DA5D39F0}"/>
    <cellStyle name="差_中卫生物评估明细表(中卫2008)_管理费用预测表" xfId="1874" xr:uid="{966FC060-10F0-4699-A653-132659D5D65B}"/>
    <cellStyle name="差_中卫生物评估明细表(中卫2008)_管理费用预测表 2" xfId="1875" xr:uid="{DC28A4DE-BD5F-46C1-89CB-CE7277474B78}"/>
    <cellStyle name="差_中卫生物评估明细表(中卫2008)_管理费用预测表_Sheet1" xfId="1876" xr:uid="{9EE464C5-1AFD-483F-ABD3-D1DB729F5B30}"/>
    <cellStyle name="差_中卫生物评估明细表(中卫2008)_收益法明细表20100506-李雪飞" xfId="1877" xr:uid="{3E300B0E-D099-43BE-ADC0-705D78E9CDFD}"/>
    <cellStyle name="差_中卫生物评估明细表(中卫2008)_收益法明细表20100506-李雪飞 2" xfId="1878" xr:uid="{72EBF597-6F46-4769-AB87-EADDF6950765}"/>
    <cellStyle name="差_中卫生物评估明细表(中卫2008)_收益法明细表20100506-李雪飞_Sheet1" xfId="1879" xr:uid="{62075FCB-4B24-4C6B-B4E5-F3277914B275}"/>
    <cellStyle name="差_中卫生物评估明细表(中卫2008)_收益法评估申报表(武汉燃料)2010-4-25" xfId="1880" xr:uid="{AA9D5F6D-BFF5-4080-BB73-6C85CC6FCA2D}"/>
    <cellStyle name="差_中卫生物评估明细表(中卫2008)_收益法评估申报表(武汉燃料)2010-4-26" xfId="1881" xr:uid="{2D5758BD-D20B-44F8-A9F2-AC1CBB27E1FF}"/>
    <cellStyle name="差_中卫生物评估明细表(中卫2008)_双鸭山收益法" xfId="1882" xr:uid="{A2EA9BB7-651A-424C-B2D0-3F017599B308}"/>
    <cellStyle name="差_中卫生物评估明细表(中卫2008)_双鸭山收益法 2" xfId="1883" xr:uid="{2B1CD688-F423-4C3B-9DED-D28AC732F58B}"/>
    <cellStyle name="差_中卫生物评估明细表(中卫2008)_双鸭山收益法_Sheet1" xfId="1884" xr:uid="{F236C020-A351-4638-BAB9-DABECB0DDD42}"/>
    <cellStyle name="差_中卫生物评估明细表(中卫2008)_资本支出预测表" xfId="1885" xr:uid="{D06B6CF7-1A47-433B-BAA4-A727B323E713}"/>
    <cellStyle name="差_中卫生物评估明细表(中卫2008)_资本支出预测表 2" xfId="1886" xr:uid="{6C6307FA-FB8B-4F7C-8C8E-24D6FF9080DE}"/>
    <cellStyle name="差_中卫生物评估明细表(中卫2008)_资本支出预测表_Sheet1" xfId="1887" xr:uid="{43FA77E3-31C2-41A5-8D12-1757B6657777}"/>
    <cellStyle name="差_专项应付款" xfId="1888" xr:uid="{7D252A2C-F2CE-440D-9EFC-44750C4FDBE0}"/>
    <cellStyle name="差_资本支出预测表" xfId="1889" xr:uid="{D8E7E917-B632-4C51-B081-5E0556F474B4}"/>
    <cellStyle name="差_资本支出预测表 2" xfId="1890" xr:uid="{C28ACABE-2301-413E-BA70-3BCF61B4BF88}"/>
    <cellStyle name="差_资本支出预测表_Sheet1" xfId="1891" xr:uid="{FDCBDF11-53B5-4518-A2F1-EEE2854A91F0}"/>
    <cellStyle name="差_资产评估申报表-收益法-天仪本部-0525" xfId="1892" xr:uid="{224893E0-58C0-493C-AA72-C09D69E8BB7C}"/>
    <cellStyle name="常规" xfId="0" builtinId="0"/>
    <cellStyle name="常规 10" xfId="1893" xr:uid="{09396F4E-CC8B-464D-A840-73AA37492E4A}"/>
    <cellStyle name="常规 10 2" xfId="1894" xr:uid="{B99F9299-E6F4-4CDD-9DBE-65B6FE8B30A2}"/>
    <cellStyle name="常规 10 2 2" xfId="1895" xr:uid="{B36B30AE-9A5F-4F18-B0C2-AE0C6BC66C84}"/>
    <cellStyle name="常规 10 2_现金流表" xfId="1896" xr:uid="{C42C23C7-5F95-4B4F-899F-40E32392EEF1}"/>
    <cellStyle name="常规 10 3" xfId="1897" xr:uid="{D58978D7-8B29-4E8C-84D4-FAD72CBB637A}"/>
    <cellStyle name="常规 10 4" xfId="1898" xr:uid="{EE0DBB4A-09BC-432F-8AC9-4629E21B33B3}"/>
    <cellStyle name="常规 10 5" xfId="1899" xr:uid="{60F66551-E16A-474A-B894-C36E37CA684E}"/>
    <cellStyle name="常规 10 6" xfId="1900" xr:uid="{2AA2C2EF-A542-4525-A36E-7FDB8A268A71}"/>
    <cellStyle name="常规 10_现金流表" xfId="1901" xr:uid="{282C76EB-9846-4B23-ADCF-13264FC8FE5D}"/>
    <cellStyle name="常规 11" xfId="1902" xr:uid="{FE968F66-7308-4BAA-A999-37C2252AAF99}"/>
    <cellStyle name="常规 11 10" xfId="1903" xr:uid="{8BDD19B0-B2E3-42A0-9F7A-26388F31DF76}"/>
    <cellStyle name="常规 11 11" xfId="1904" xr:uid="{0F9413D4-C670-41D7-B966-2ED5FEADC56D}"/>
    <cellStyle name="常规 11 12" xfId="1905" xr:uid="{BD498696-F1E0-4C1D-B05C-42D7F57D30DF}"/>
    <cellStyle name="常规 11 13" xfId="1906" xr:uid="{5DC59304-95BD-4075-B8D5-17D752259452}"/>
    <cellStyle name="常规 11 14" xfId="1907" xr:uid="{B3A37AE2-3640-445D-A921-7C6122AB7100}"/>
    <cellStyle name="常规 11 15" xfId="1908" xr:uid="{DCDBE99B-7712-439F-BA1C-9C705697DBAD}"/>
    <cellStyle name="常规 11 16" xfId="1909" xr:uid="{777C5585-09DB-4728-9DF9-643278847E78}"/>
    <cellStyle name="常规 11 17" xfId="1910" xr:uid="{C8428AE3-F31A-40DF-AEC8-CD02381BA5B9}"/>
    <cellStyle name="常规 11 18" xfId="1911" xr:uid="{5DE8B6DF-D77C-4584-A582-DD639236C8CE}"/>
    <cellStyle name="常规 11 19" xfId="1912" xr:uid="{F322F13E-7013-4C1D-9111-653D6633E395}"/>
    <cellStyle name="常规 11 2" xfId="1913" xr:uid="{39D6C8DD-0467-463C-B994-FCC3960F9F26}"/>
    <cellStyle name="常规 11 20" xfId="1914" xr:uid="{1C094895-35D8-499F-B485-3385A6E064AA}"/>
    <cellStyle name="常规 11 21" xfId="1915" xr:uid="{2CD4E47F-37AF-4754-B803-B8481E8FD4A2}"/>
    <cellStyle name="常规 11 22" xfId="1916" xr:uid="{E84DCE67-0B0C-410C-9717-3BEF65A36516}"/>
    <cellStyle name="常规 11 23" xfId="1917" xr:uid="{6C275E3E-DABD-495C-B6F1-C930F9A8C4F0}"/>
    <cellStyle name="常规 11 24" xfId="1918" xr:uid="{686A11CB-9F18-4548-899B-A77F4C2C0195}"/>
    <cellStyle name="常规 11 25" xfId="1919" xr:uid="{E6972BFC-8DAB-41C3-A056-C6C4CCE5BCF1}"/>
    <cellStyle name="常规 11 26" xfId="1920" xr:uid="{853D3B49-13E0-4020-BDEB-EA6CFECAE719}"/>
    <cellStyle name="常规 11 27" xfId="1921" xr:uid="{008E4179-A85B-434C-877E-BDFA18CE3DE2}"/>
    <cellStyle name="常规 11 3" xfId="1922" xr:uid="{72FE3422-9CE1-4501-AAF3-237631640752}"/>
    <cellStyle name="常规 11 4" xfId="1923" xr:uid="{D0BEE605-5862-4C74-A372-1AFB54805760}"/>
    <cellStyle name="常规 11 4 2" xfId="1924" xr:uid="{12B1B21E-D61E-48C5-B648-81CB56B8225F}"/>
    <cellStyle name="常规 11 5" xfId="1925" xr:uid="{48A5A7B6-4FD6-4407-BD0E-FCE19748B807}"/>
    <cellStyle name="常规 11 6" xfId="1926" xr:uid="{A9F397A0-1348-4732-9711-66848D8A9DB6}"/>
    <cellStyle name="常规 11 7" xfId="1927" xr:uid="{AB74C05C-7F96-4CDE-8EDA-4C9744BA169B}"/>
    <cellStyle name="常规 11 8" xfId="1928" xr:uid="{B06B27A7-FCCE-41ED-B867-A0174C87139B}"/>
    <cellStyle name="常规 11 9" xfId="1929" xr:uid="{23337AF2-67DF-4172-95DF-2CD1B17EEC35}"/>
    <cellStyle name="常规 11_现金流表" xfId="1930" xr:uid="{A6809FAD-2A97-419A-87A1-DFFEE04B50FB}"/>
    <cellStyle name="常规 12" xfId="1931" xr:uid="{5976947B-3131-4C7C-AD6A-FC1DC59BC6ED}"/>
    <cellStyle name="常规 12 2" xfId="1932" xr:uid="{44A855E6-840C-42B8-A3C3-CF1906AADD37}"/>
    <cellStyle name="常规 12 2 2" xfId="1933" xr:uid="{EB787AB4-6162-43F7-B669-DD0FECE9E7C7}"/>
    <cellStyle name="常规 12 2 2 2" xfId="1934" xr:uid="{0531B23C-37F7-437F-B4BE-A34B7D4653E3}"/>
    <cellStyle name="常规 12 2 2 3" xfId="1935" xr:uid="{6789EE96-FA19-484E-8DC1-87A76E62E413}"/>
    <cellStyle name="常规 12 2 2_3-收益法评估表" xfId="1936" xr:uid="{97606D28-3CC8-49DD-AC66-842B31A95DA0}"/>
    <cellStyle name="常规 12 2 3" xfId="1937" xr:uid="{56E66A79-F504-4218-873D-2F5C2D941F4C}"/>
    <cellStyle name="常规 12 2_3-收益法评估表" xfId="1938" xr:uid="{4CFFAF3F-B0FA-43A7-BFE8-42C9A1CF4CA5}"/>
    <cellStyle name="常规 12 3" xfId="1939" xr:uid="{54929D45-B64D-4BD4-B1C6-E094E9EBF814}"/>
    <cellStyle name="常规 12 4" xfId="1940" xr:uid="{A62068A3-A9AC-475A-89A3-E84893FE3EE7}"/>
    <cellStyle name="常规 12_3-收益法评估表" xfId="1941" xr:uid="{0567B9BB-9B33-4534-9B6F-6ED8C2745EA3}"/>
    <cellStyle name="常规 13" xfId="14" xr:uid="{5EA46842-284E-48EA-8E90-FC202244F6A1}"/>
    <cellStyle name="常规 13 2" xfId="1942" xr:uid="{14CF33BA-56B3-46D4-B7F4-0040D82311DC}"/>
    <cellStyle name="常规 13 3" xfId="1943" xr:uid="{BE7E47D1-C1B2-4F69-902C-B50E6BDAB92C}"/>
    <cellStyle name="常规 13 3 2" xfId="1944" xr:uid="{1E9C8F7C-4B05-408E-80DC-5F0E27712B93}"/>
    <cellStyle name="常规 13 3 2 2" xfId="1945" xr:uid="{B97D0B5D-5C72-445C-9F81-750CD5EDDF6D}"/>
    <cellStyle name="常规 13 4" xfId="1946" xr:uid="{7A068E4F-DC64-4605-86C7-DF2F62BE0B6B}"/>
    <cellStyle name="常规 13 5" xfId="1947" xr:uid="{4D14D8E3-FE72-469D-B4B5-9D6CD4A70BF3}"/>
    <cellStyle name="常规 13 6" xfId="1948" xr:uid="{2A8A86E7-5484-47A8-A39B-90914ECDC7CC}"/>
    <cellStyle name="常规 13 7" xfId="1949" xr:uid="{A9FED5AC-82A9-4BE5-8E4E-359018E4838B}"/>
    <cellStyle name="常规 13 8" xfId="1950" xr:uid="{7C0E3E91-8806-47BD-8A33-4A53CA8A7575}"/>
    <cellStyle name="常规 13_Sheet1" xfId="1951" xr:uid="{7F2C85AC-82CA-4945-A9D7-28389BA67E5F}"/>
    <cellStyle name="常规 14" xfId="1952" xr:uid="{A0E43066-267E-48D0-88EC-5B3437098CCA}"/>
    <cellStyle name="常规 14 2" xfId="1953" xr:uid="{CE691973-F4A4-4BF2-9A34-006F376298DD}"/>
    <cellStyle name="常规 14 2 2" xfId="1954" xr:uid="{7D03643B-A233-4680-AB58-BC0015A1644E}"/>
    <cellStyle name="常规 14 2 3" xfId="1955" xr:uid="{7F4F04F0-153D-422D-B55B-06525829D3B1}"/>
    <cellStyle name="常规 14 2_现金流表" xfId="1956" xr:uid="{7569BA87-04E7-4855-9D37-2027F711754D}"/>
    <cellStyle name="常规 14 3" xfId="1957" xr:uid="{7356119C-3129-48E4-8AEC-97D8CF125B8D}"/>
    <cellStyle name="常规 14 4" xfId="1958" xr:uid="{CED7EA2F-9830-4F7E-8750-70ADA0DABDEE}"/>
    <cellStyle name="常规 14 5" xfId="1959" xr:uid="{3B9BA24B-8C7E-4EEB-BEA8-2E17C3EFEB4C}"/>
    <cellStyle name="常规 14 6" xfId="1960" xr:uid="{74FC3D64-FCC7-4BCA-9372-62A1F209F54B}"/>
    <cellStyle name="常规 14_Sheet1" xfId="1961" xr:uid="{1BD640BA-5EE8-4D38-9809-5F9BB75C6138}"/>
    <cellStyle name="常规 15" xfId="1962" xr:uid="{83F1EFDC-C6B1-4BDD-86E9-8E648CDF9C6B}"/>
    <cellStyle name="常规 15 2" xfId="1963" xr:uid="{54113E4A-1042-4F6B-8847-C82EF8B84F3B}"/>
    <cellStyle name="常规 15 3" xfId="1964" xr:uid="{E4B02A0B-2E4F-45A2-BBCC-ECE93AE4C618}"/>
    <cellStyle name="常规 15 4" xfId="1965" xr:uid="{CB69A47F-EFD8-4E06-B261-8DC3CF604F61}"/>
    <cellStyle name="常规 15_Sheet1" xfId="1966" xr:uid="{E02ACC6B-E835-41B9-BE76-3D8403DEE630}"/>
    <cellStyle name="常规 16" xfId="1967" xr:uid="{A485058C-5F36-4CEC-AFD2-0EBFFC662A60}"/>
    <cellStyle name="常规 16 2" xfId="1968" xr:uid="{F5926FD8-9BBC-4FB5-AAB9-62A8E9C97FCB}"/>
    <cellStyle name="常规 16 3" xfId="1969" xr:uid="{8FE71484-FFA3-4363-955D-1EA49A05E1F7}"/>
    <cellStyle name="常规 16 4" xfId="1970" xr:uid="{82AD28EA-6A91-4332-B26E-22D0ACA8FB11}"/>
    <cellStyle name="常规 16_Sheet1" xfId="1971" xr:uid="{E014BC5A-5273-4540-8493-DF170AA189CA}"/>
    <cellStyle name="常规 17" xfId="1972" xr:uid="{162C4317-7E55-4909-BD8A-FCFF035B1D94}"/>
    <cellStyle name="常规 17 2" xfId="1973" xr:uid="{C46A47EB-13BE-4E56-8731-656D55AF6767}"/>
    <cellStyle name="常规 17_Sheet1" xfId="1974" xr:uid="{03FD98D1-D12A-4B22-BDB2-7C1514A7BC2D}"/>
    <cellStyle name="常规 18" xfId="1975" xr:uid="{03374712-021F-4085-B0A9-41AEBAFDAB06}"/>
    <cellStyle name="常规 18 2" xfId="1976" xr:uid="{EE9DA7EE-99C2-441B-B499-55DB2CC15433}"/>
    <cellStyle name="常规 18 3" xfId="1977" xr:uid="{805D35A3-9C56-4292-9309-C7778FA6E7FB}"/>
    <cellStyle name="常规 18_Sheet1" xfId="1978" xr:uid="{4DD09E4F-1B3D-459F-8E9F-B6F095D2353F}"/>
    <cellStyle name="常规 19" xfId="1979" xr:uid="{D3FF4388-68C9-4DD0-99D0-4DEBDF9BAC4F}"/>
    <cellStyle name="常规 2" xfId="4" xr:uid="{00000000-0005-0000-0000-000005000000}"/>
    <cellStyle name="常规 2 10" xfId="1981" xr:uid="{7CD712C9-293A-45D1-83CA-94BE4B6347A9}"/>
    <cellStyle name="常规 2 10 2" xfId="1982" xr:uid="{23A9B147-59FA-4B1F-8C84-2541AF491BD7}"/>
    <cellStyle name="常规 2 10_Sheet1" xfId="1983" xr:uid="{5A882EC4-BE9A-4723-A638-43C7C24AF116}"/>
    <cellStyle name="常规 2 11" xfId="1984" xr:uid="{C9A11267-D170-41A4-B1E8-8792BD9737D1}"/>
    <cellStyle name="常规 2 11 2" xfId="1985" xr:uid="{1E8BF3D0-D7B9-4CB4-8324-DCDD487B64CB}"/>
    <cellStyle name="常规 2 11_Sheet1" xfId="1986" xr:uid="{760A6EBA-E3B3-4126-8432-E431F6657BF4}"/>
    <cellStyle name="常规 2 12" xfId="1987" xr:uid="{46D0D071-6E86-4B41-8BB8-82E65B40FFDD}"/>
    <cellStyle name="常规 2 12 2" xfId="1988" xr:uid="{2521DFCD-5CAE-4EDB-AF45-9894F5710059}"/>
    <cellStyle name="常规 2 12_Sheet1" xfId="1989" xr:uid="{AB5EE805-7D49-4180-9018-CE14945B36F2}"/>
    <cellStyle name="常规 2 13" xfId="1990" xr:uid="{F4F43C25-5334-45C3-9ADF-D5F44C9B91ED}"/>
    <cellStyle name="常规 2 13 2" xfId="1991" xr:uid="{7EA56D20-4458-4C2A-9401-109F61A56946}"/>
    <cellStyle name="常规 2 13_Sheet1" xfId="1992" xr:uid="{ED20C50A-7D46-4FAA-B1AE-F33B072D70BB}"/>
    <cellStyle name="常规 2 14" xfId="1993" xr:uid="{373A8632-28FB-4722-864F-103BCE2024AE}"/>
    <cellStyle name="常规 2 14 2" xfId="1994" xr:uid="{AC568545-C72A-4E45-8E0D-F6BED49581E3}"/>
    <cellStyle name="常规 2 14_Sheet1" xfId="1995" xr:uid="{B045F08A-9B66-4946-A2CF-6B4A1EBA5080}"/>
    <cellStyle name="常规 2 15" xfId="1996" xr:uid="{7F7044A4-707D-40D4-95FE-AC35EDB25861}"/>
    <cellStyle name="常规 2 15 2" xfId="1997" xr:uid="{4908073D-0CA5-48ED-B33B-B7AE4ADC14E6}"/>
    <cellStyle name="常规 2 15_Sheet1" xfId="1998" xr:uid="{956158B2-DDB3-495C-BC1A-39D18CABF917}"/>
    <cellStyle name="常规 2 16" xfId="1999" xr:uid="{CB481683-B208-498A-8BBA-B115E50132E3}"/>
    <cellStyle name="常规 2 16 2" xfId="2000" xr:uid="{ACF45DCA-BCFF-44A2-A36C-654831CE4053}"/>
    <cellStyle name="常规 2 16_Sheet1" xfId="2001" xr:uid="{263D8EFD-B301-40C8-B7C1-79FAC5238D50}"/>
    <cellStyle name="常规 2 17" xfId="2002" xr:uid="{06B314A3-031C-4588-A816-158D12759D4C}"/>
    <cellStyle name="常规 2 17 2" xfId="2003" xr:uid="{B764D6D8-91C2-49EB-94BD-B91F0018DADF}"/>
    <cellStyle name="常规 2 17_Sheet1" xfId="2004" xr:uid="{02E7DAF6-7EF6-428E-A5E2-B20037A795C0}"/>
    <cellStyle name="常规 2 18" xfId="2005" xr:uid="{E12CC02D-72E3-4D2E-B199-E8EE61F4C75E}"/>
    <cellStyle name="常规 2 18 2" xfId="2006" xr:uid="{27BF0699-879E-4577-B1F2-E51D4A56D010}"/>
    <cellStyle name="常规 2 18_Sheet1" xfId="2007" xr:uid="{76003C91-A142-4EA7-B00E-F2F94EC660DE}"/>
    <cellStyle name="常规 2 19" xfId="2008" xr:uid="{1C763341-6519-4314-9EDE-FC64238AD0FA}"/>
    <cellStyle name="常规 2 19 2" xfId="2009" xr:uid="{16E7E8F3-1A61-4DDD-B0AC-4D5170E38865}"/>
    <cellStyle name="常规 2 19_Sheet1" xfId="2010" xr:uid="{B4355569-D913-4154-A688-F8F0E448629B}"/>
    <cellStyle name="常规 2 2" xfId="3" xr:uid="{00000000-0005-0000-0000-000006000000}"/>
    <cellStyle name="常规 2 2 10" xfId="2012" xr:uid="{E7755BD3-EB7E-42F2-8A82-3FE25FD5C805}"/>
    <cellStyle name="常规 2 2 11" xfId="2011" xr:uid="{85EA54B1-6ACE-49E8-86EE-32A5FC241007}"/>
    <cellStyle name="常规 2 2 2" xfId="2013" xr:uid="{99CB339C-F814-4F52-AE9D-6991E68E4F1A}"/>
    <cellStyle name="常规 2 2 2 2" xfId="2014" xr:uid="{B2FDFD69-CE22-423B-A16B-541132010897}"/>
    <cellStyle name="常规 2 2 2_Sheet1" xfId="2015" xr:uid="{6951004F-67E9-460B-B16B-23B07698F864}"/>
    <cellStyle name="常规 2 2 3" xfId="2016" xr:uid="{93EFE4D5-F1AC-41D8-8E2A-281DBD80271C}"/>
    <cellStyle name="常规 2 2 3 2" xfId="2017" xr:uid="{1548821B-6227-4260-8E3B-E0CFF5D2773A}"/>
    <cellStyle name="常规 2 2 3_Sheet1" xfId="2018" xr:uid="{CC5F5D7A-D2B6-4B81-998E-76CFCD4BB974}"/>
    <cellStyle name="常规 2 2 4" xfId="2019" xr:uid="{B728A70A-C940-48DC-93E9-B1DD2CD8BA6A}"/>
    <cellStyle name="常规 2 2 4 2" xfId="2020" xr:uid="{B4E869D1-F2CF-4CEB-9BD2-AA2309F206B3}"/>
    <cellStyle name="常规 2 2 4_Sheet1" xfId="2021" xr:uid="{896CC5B6-165C-4E5B-8498-F7909EDC2BCF}"/>
    <cellStyle name="常规 2 2 5" xfId="2022" xr:uid="{0FD04DAB-6A9E-49AA-9764-39650833DE8B}"/>
    <cellStyle name="常规 2 2 5 2" xfId="2023" xr:uid="{BF362FDC-1EBC-49D6-B587-C4014FAF36B0}"/>
    <cellStyle name="常规 2 2 5_Sheet1" xfId="2024" xr:uid="{5A11AE99-A34F-4ACA-BD64-711EF189A32C}"/>
    <cellStyle name="常规 2 2 6" xfId="2025" xr:uid="{E936085D-9CB1-47F7-999A-C344E66E10AD}"/>
    <cellStyle name="常规 2 2 6 2" xfId="2026" xr:uid="{253C8070-DBC5-4F2D-8371-FB80E3093F8C}"/>
    <cellStyle name="常规 2 2 6_Sheet1" xfId="2027" xr:uid="{9511595B-9D0E-428A-8039-9CF2AD0A4F24}"/>
    <cellStyle name="常规 2 2 7" xfId="2028" xr:uid="{7F3C0C0E-4559-48BA-8134-F9001A20A137}"/>
    <cellStyle name="常规 2 2 8" xfId="2029" xr:uid="{E63BBF18-B6DB-4EE5-BFBE-FEAC291771FA}"/>
    <cellStyle name="常规 2 2 9" xfId="2030" xr:uid="{C60CAC03-20F3-4C90-97A9-7BF7C59501DF}"/>
    <cellStyle name="常规 2 2_DownLoad1(报朱建军)" xfId="2031" xr:uid="{7FF03DDC-488D-4AEC-9883-F8280D089281}"/>
    <cellStyle name="常规 2 20" xfId="2032" xr:uid="{9A9231DA-81CC-4681-9C94-1F33E288B064}"/>
    <cellStyle name="常规 2 20 2" xfId="2033" xr:uid="{5E9231F5-3986-427E-B341-C657559CB760}"/>
    <cellStyle name="常规 2 20_Sheet1" xfId="2034" xr:uid="{0AE55C7F-6FB9-409A-A0B9-E1ADDFF1F9EB}"/>
    <cellStyle name="常规 2 21" xfId="2035" xr:uid="{A80661B0-58B6-465A-8F1A-8B80CA3C94ED}"/>
    <cellStyle name="常规 2 21 2" xfId="2036" xr:uid="{4B467DBF-99A4-412E-8DF3-936F1C7E513C}"/>
    <cellStyle name="常规 2 21_Sheet1" xfId="2037" xr:uid="{2132DFBC-D0F0-4DC9-AD63-E5FA8FC995E1}"/>
    <cellStyle name="常规 2 22" xfId="2038" xr:uid="{1C0DA55D-2553-41D4-A141-7B790EB61CC1}"/>
    <cellStyle name="常规 2 22 2" xfId="2039" xr:uid="{C6F04F19-BD02-4B8B-AC3C-7978D685CF42}"/>
    <cellStyle name="常规 2 22_Sheet1" xfId="2040" xr:uid="{F5F8FBF5-97FC-47D1-8A42-9EB907164F07}"/>
    <cellStyle name="常规 2 23" xfId="2041" xr:uid="{CBB9A156-B9E1-4B7D-8D6C-17CCA6D98C0B}"/>
    <cellStyle name="常规 2 23 2" xfId="2042" xr:uid="{7DB83126-35B3-422A-AA2B-E296220DA84B}"/>
    <cellStyle name="常规 2 23_Sheet1" xfId="2043" xr:uid="{020EB1BB-30E1-41A9-8B65-526846746448}"/>
    <cellStyle name="常规 2 24" xfId="2044" xr:uid="{D9B6719F-B7A7-4B3C-B9DC-5750F236DDB2}"/>
    <cellStyle name="常规 2 24 2" xfId="2045" xr:uid="{5AB495D6-EB80-4F53-8A8E-ADF173431921}"/>
    <cellStyle name="常规 2 24_Sheet1" xfId="2046" xr:uid="{5CF8124B-F4CB-4B47-AA1C-CA06AFF24B1E}"/>
    <cellStyle name="常规 2 25" xfId="2047" xr:uid="{53727D85-1790-4238-AE9E-7DBA4CA19D45}"/>
    <cellStyle name="常规 2 25 2" xfId="2048" xr:uid="{7CA53C73-42C6-4A63-AA88-838A6ECD7C22}"/>
    <cellStyle name="常规 2 25_Sheet1" xfId="2049" xr:uid="{D2C62D89-1767-4DA8-A958-AFC585A473AA}"/>
    <cellStyle name="常规 2 26" xfId="2050" xr:uid="{69082006-AE5A-4157-8C19-E9C441257C66}"/>
    <cellStyle name="常规 2 26 2" xfId="2051" xr:uid="{76595365-DFD3-44EC-AAF3-15C60DFC0E39}"/>
    <cellStyle name="常规 2 26_Sheet1" xfId="2052" xr:uid="{4485897D-3973-4407-AFBB-63A9F8F89A47}"/>
    <cellStyle name="常规 2 27" xfId="2053" xr:uid="{D01AE46F-2F06-4547-B3E3-CBC71895C25F}"/>
    <cellStyle name="常规 2 27 2" xfId="2054" xr:uid="{51A60B86-F893-4B3A-8EDF-1EDBF8C077E5}"/>
    <cellStyle name="常规 2 27_Sheet1" xfId="2055" xr:uid="{39BBC66D-FB11-4408-B24E-9E39471F4C81}"/>
    <cellStyle name="常规 2 28" xfId="2056" xr:uid="{F95FF335-973F-4CD4-9309-397F0ECA9F59}"/>
    <cellStyle name="常规 2 28 2" xfId="2057" xr:uid="{9C1FB907-4747-4959-81FC-0A43240CA334}"/>
    <cellStyle name="常规 2 28_Sheet1" xfId="2058" xr:uid="{F3B4F6FB-9F96-4D74-9AF5-5161C226F48E}"/>
    <cellStyle name="常规 2 29" xfId="2059" xr:uid="{FA1E6952-0D56-404D-80B9-A10CDE317E26}"/>
    <cellStyle name="常规 2 29 2" xfId="2060" xr:uid="{0CA39602-5030-429E-84E2-48FDBD4D8DB4}"/>
    <cellStyle name="常规 2 29_Sheet1" xfId="2061" xr:uid="{EA4542F3-72A5-4CEA-86C9-35C40F791504}"/>
    <cellStyle name="常规 2 3" xfId="8" xr:uid="{00000000-0005-0000-0000-000007000000}"/>
    <cellStyle name="常规 2 3 2" xfId="2063" xr:uid="{43E20BA5-B6F5-40A2-A412-F665128EDA37}"/>
    <cellStyle name="常规 2 3 3" xfId="2064" xr:uid="{7E837E4A-B746-43C4-9C05-56199C3795B5}"/>
    <cellStyle name="常规 2 3 4" xfId="2065" xr:uid="{336C2E85-9601-4BA5-9191-5CB5428B7220}"/>
    <cellStyle name="常规 2 3 5" xfId="2066" xr:uid="{656C3656-2958-4A17-8B22-15F851A80E91}"/>
    <cellStyle name="常规 2 3 6" xfId="2067" xr:uid="{6BA7E1F8-E2BB-447B-BBBE-9AC0CDF336E7}"/>
    <cellStyle name="常规 2 3 7" xfId="2062" xr:uid="{B8B10910-C31E-4A61-A925-226F3C8EAAD9}"/>
    <cellStyle name="常规 2 3_Sheet1" xfId="2068" xr:uid="{C7CAFAD4-B8DA-4E7E-A48E-7F7EA54BEC91}"/>
    <cellStyle name="常规 2 30" xfId="2069" xr:uid="{032044FC-471E-423C-8142-AD06BCFE4E5E}"/>
    <cellStyle name="常规 2 30 2" xfId="2070" xr:uid="{8843565F-7FC1-4ACF-A4DC-2E7CA521B493}"/>
    <cellStyle name="常规 2 30_Sheet1" xfId="2071" xr:uid="{AA7EE3F1-8A65-41C1-BF3C-DCAD15376752}"/>
    <cellStyle name="常规 2 31" xfId="2072" xr:uid="{F918C3F9-46BB-461D-A860-36E6C9C04A8B}"/>
    <cellStyle name="常规 2 31 2" xfId="2073" xr:uid="{5D1E0720-0468-40A5-95FE-1DB065F1CEAF}"/>
    <cellStyle name="常规 2 31_Sheet1" xfId="2074" xr:uid="{3D0C97B2-9A92-41F3-8C88-A0EAD7CE6EED}"/>
    <cellStyle name="常规 2 32" xfId="2075" xr:uid="{4C69E1A0-9601-450A-BDF6-DFE26ABB8014}"/>
    <cellStyle name="常规 2 32 2" xfId="2076" xr:uid="{11B51618-2F5C-40D4-9DCF-A3CA53E827CD}"/>
    <cellStyle name="常规 2 32_Sheet1" xfId="2077" xr:uid="{B19F4B47-592E-470A-88E7-714858474138}"/>
    <cellStyle name="常规 2 33" xfId="2078" xr:uid="{CF0A0367-D257-4411-A903-DE4AC28F1466}"/>
    <cellStyle name="常规 2 34" xfId="2079" xr:uid="{0C4C6650-A551-4D40-9AD3-7D8481F6C08C}"/>
    <cellStyle name="常规 2 35" xfId="2080" xr:uid="{E84B291E-9A4B-4E57-A51E-F48FEC333CF5}"/>
    <cellStyle name="常规 2 36" xfId="2081" xr:uid="{24286841-7264-4802-8A69-8228713885F5}"/>
    <cellStyle name="常规 2 37" xfId="1980" xr:uid="{58AF4F9E-670D-435C-A286-D6C336F7454B}"/>
    <cellStyle name="常规 2 4" xfId="2082" xr:uid="{DF716D0E-E08D-40E6-B432-0239DAA9E079}"/>
    <cellStyle name="常规 2 4 2" xfId="2083" xr:uid="{9459D071-1E79-4F49-BA53-9FE9CCC9289B}"/>
    <cellStyle name="常规 2 4 3" xfId="2084" xr:uid="{372B68CD-F134-4028-BE97-6780BF2F456C}"/>
    <cellStyle name="常规 2 4_Sheet1" xfId="2085" xr:uid="{54D89129-7C0F-4242-807A-34C3B3B2B00B}"/>
    <cellStyle name="常规 2 5" xfId="2086" xr:uid="{D0989F8C-A2C5-4EC2-A44C-D3CADE123DB7}"/>
    <cellStyle name="常规 2 5 2" xfId="2087" xr:uid="{9CD06835-A819-4A26-BAEA-F45DA8659644}"/>
    <cellStyle name="常规 2 5_Sheet1" xfId="2088" xr:uid="{153B5AE9-9524-4617-9A3C-BABA4F2451D7}"/>
    <cellStyle name="常规 2 6" xfId="2089" xr:uid="{04783371-5F5E-48A8-AF1A-985DE4FF8727}"/>
    <cellStyle name="常规 2 6 2" xfId="2090" xr:uid="{76B8B6A0-26BA-4278-B78F-947B177AF9D7}"/>
    <cellStyle name="常规 2 6_Sheet1" xfId="2091" xr:uid="{7386CF88-37C1-4E5E-A42C-7DC505E1F15C}"/>
    <cellStyle name="常规 2 7" xfId="2092" xr:uid="{B4914950-9C70-4FA9-B2D1-868298885C86}"/>
    <cellStyle name="常规 2 7 2" xfId="2093" xr:uid="{5311326D-C286-46C2-A1FB-8C7FB986B7CE}"/>
    <cellStyle name="常规 2 7_Sheet1" xfId="2094" xr:uid="{AB45D953-5ECB-444C-BC14-14E4DF25531D}"/>
    <cellStyle name="常规 2 8" xfId="2095" xr:uid="{99361C4F-8731-4749-AF10-20401409B004}"/>
    <cellStyle name="常规 2 8 2" xfId="2096" xr:uid="{0ADAB3E7-A1BE-4A95-8A30-A267690E411F}"/>
    <cellStyle name="常规 2 8_Sheet1" xfId="2097" xr:uid="{14CF2E46-BB54-4BA4-B5AE-8676FC464582}"/>
    <cellStyle name="常规 2 9" xfId="2098" xr:uid="{D4F4C63C-AF51-442F-92FA-F807694ADA40}"/>
    <cellStyle name="常规 2 9 2" xfId="2099" xr:uid="{75100454-FEFE-4541-BD81-3A9A4390A5AF}"/>
    <cellStyle name="常规 2 9_Sheet1" xfId="2100" xr:uid="{FCBDA863-6345-4EE8-90A5-F566F49554C6}"/>
    <cellStyle name="常规 2_DownLoad1(报朱建军)" xfId="2101" xr:uid="{AA4DE226-7C17-4BF0-953B-A75C1FEB30B8}"/>
    <cellStyle name="常规 20" xfId="2102" xr:uid="{1B158669-2CAB-4938-BCC0-90C51D2F53F7}"/>
    <cellStyle name="常规 21" xfId="2103" xr:uid="{61BDFD15-7FBB-457E-850B-41A0C67166AB}"/>
    <cellStyle name="常规 21 2" xfId="2104" xr:uid="{31CA3BE9-B3F4-4B18-9596-D0023DB69556}"/>
    <cellStyle name="常规 21_Sheet1" xfId="2105" xr:uid="{D86020AC-992A-45F5-88F7-295F85798107}"/>
    <cellStyle name="常规 22" xfId="2106" xr:uid="{902C7CC3-9B8F-425F-8934-6675611F8E1C}"/>
    <cellStyle name="常规 23" xfId="2107" xr:uid="{3C9534DF-69FC-4826-BA08-D65C0726EC7B}"/>
    <cellStyle name="常规 23 2" xfId="2108" xr:uid="{5E6922C1-3881-4930-8045-B0E74821E212}"/>
    <cellStyle name="常规 24" xfId="2109" xr:uid="{B0093768-87B5-4C3D-9F18-9A953832786D}"/>
    <cellStyle name="常规 25" xfId="2110" xr:uid="{B4338705-6872-418D-A34A-83667E65E993}"/>
    <cellStyle name="常规 25 2" xfId="2111" xr:uid="{3BBBC8E5-AECC-4D12-B157-975006EFD2E2}"/>
    <cellStyle name="常规 25_Sheet1" xfId="2112" xr:uid="{A1250763-FC4A-4D12-9DC2-0EA46DCD9C07}"/>
    <cellStyle name="常规 26" xfId="2113" xr:uid="{10BF8F00-754F-4BF1-9467-D1CEE9731391}"/>
    <cellStyle name="常规 27" xfId="2114" xr:uid="{53945760-CD04-4375-AD69-43BDA653BE78}"/>
    <cellStyle name="常规 28" xfId="2115" xr:uid="{C1D7C1B4-94BC-45AF-8282-2794309E684A}"/>
    <cellStyle name="常规 29" xfId="2116" xr:uid="{EBBF140E-14BC-48F0-918C-E4177831A960}"/>
    <cellStyle name="常规 3" xfId="2117" xr:uid="{D5CCBBB0-ED60-48D0-908A-FC5CB62A4442}"/>
    <cellStyle name="常规 3 2" xfId="2118" xr:uid="{A4AD2BA0-B5AD-4AE7-A0CC-72AF148598F1}"/>
    <cellStyle name="常规 3 2 2" xfId="2119" xr:uid="{5D107FEA-253E-41DB-8EDA-66C110602FE1}"/>
    <cellStyle name="常规 3 2 2 2" xfId="2120" xr:uid="{DCB6FDED-0B55-4117-8FAE-1AC600AB12C7}"/>
    <cellStyle name="常规 3 2 2_Sheet1" xfId="2121" xr:uid="{00D3F316-1C40-4D3A-AD66-F38DD1BD1B4B}"/>
    <cellStyle name="常规 3 2 3" xfId="2122" xr:uid="{65CFAAA2-2A5E-4C7A-8456-09E51806C8D0}"/>
    <cellStyle name="常规 3 2 3 2" xfId="2123" xr:uid="{0B07D73E-A536-45A7-8F54-9DCB8CC89F61}"/>
    <cellStyle name="常规 3 2 3_Sheet1" xfId="2124" xr:uid="{76B9AE35-A47C-43C9-95B6-F03475DADDFB}"/>
    <cellStyle name="常规 3 2 4" xfId="2125" xr:uid="{5B36758D-1F19-4489-A704-65BFABE4DF1A}"/>
    <cellStyle name="常规 3 2 5" xfId="2126" xr:uid="{CEABFA9B-12D4-4183-BA20-2777B507D53B}"/>
    <cellStyle name="常规 3 2 6" xfId="2127" xr:uid="{0AE22A9F-D269-4E32-9F3F-9FAE39E28C5A}"/>
    <cellStyle name="常规 3 2 7" xfId="2128" xr:uid="{8C0A898F-01CF-4222-AB44-1D4147222396}"/>
    <cellStyle name="常规 3 2_电力企业收益法表格双辽发电厂" xfId="2129" xr:uid="{05C313A0-F0FB-4E20-8432-B02AD12E8EFF}"/>
    <cellStyle name="常规 3 3" xfId="2130" xr:uid="{90CAB1E9-0EEE-4AE0-A21E-F71AF91FF190}"/>
    <cellStyle name="常规 3 3 2" xfId="2131" xr:uid="{F4448916-EDC3-407A-A0B1-06AAC63C45FB}"/>
    <cellStyle name="常规 3 3 3" xfId="2132" xr:uid="{2F93372E-5409-4545-90A0-1E94A71481B5}"/>
    <cellStyle name="常规 3 3_电力企业收益法表格双辽发电厂" xfId="2133" xr:uid="{458437E3-42CC-4B80-9534-D6DE823672BA}"/>
    <cellStyle name="常规 3 4" xfId="2134" xr:uid="{86FD65F5-4851-4301-820A-2B9E147E185F}"/>
    <cellStyle name="常规 3 4 2" xfId="2135" xr:uid="{6F7200EC-C2CC-42FC-85FF-B65DD56239FB}"/>
    <cellStyle name="常规 3 4 3" xfId="2136" xr:uid="{C86E33B9-E189-45FC-9F29-9560F4661243}"/>
    <cellStyle name="常规 3 4_电力企业收益法表格双辽发电厂" xfId="2137" xr:uid="{8CCF6EC1-FE00-4309-BC9C-4B07FD295A70}"/>
    <cellStyle name="常规 3 5" xfId="2138" xr:uid="{53FD647F-F372-4AD8-8BAE-07EDD7DF796E}"/>
    <cellStyle name="常规 3 5 2" xfId="2139" xr:uid="{5F61942C-3284-4A8E-AF1C-F2CC299751A8}"/>
    <cellStyle name="常规 3 5_Sheet1" xfId="2140" xr:uid="{728CB509-D997-4E96-A09A-14C6B7D3385A}"/>
    <cellStyle name="常规 3 6" xfId="2141" xr:uid="{5B18707D-3193-4CB4-8B96-D4736DF97538}"/>
    <cellStyle name="常规 3 6 2" xfId="2142" xr:uid="{87D8BC1E-D09E-4533-B778-11A68D2A8F7B}"/>
    <cellStyle name="常规 3 6_Sheet1" xfId="2143" xr:uid="{3BB8BE18-D646-4A93-BF85-B39D20AB1D56}"/>
    <cellStyle name="常规 3 7" xfId="2144" xr:uid="{32D6CF31-968B-4D95-8C70-78C8C6353025}"/>
    <cellStyle name="常规 3 8" xfId="2145" xr:uid="{532E9CE4-F04C-43F9-AE89-A1A9AAC3221D}"/>
    <cellStyle name="常规 3 9" xfId="2146" xr:uid="{A61A3243-E075-481E-A245-EBA5AB07C283}"/>
    <cellStyle name="常规 3_1应收账款" xfId="2147" xr:uid="{7CBD71DB-095C-4B4A-8F48-522EBB49D2D3}"/>
    <cellStyle name="常规 30" xfId="2148" xr:uid="{462EEEC0-2E47-43D2-9A0C-134E93C0D16A}"/>
    <cellStyle name="常规 31" xfId="2149" xr:uid="{3F8189E3-9DBC-43FE-A8DD-3BC601FB15AA}"/>
    <cellStyle name="常规 31 2" xfId="2150" xr:uid="{1C8FA363-F68B-4857-8EBA-BBFDD932F157}"/>
    <cellStyle name="常规 31 2 2" xfId="2151" xr:uid="{8953EF42-9931-4AE6-B564-672500A96979}"/>
    <cellStyle name="常规 31 2_Sheet1" xfId="2152" xr:uid="{57465CE3-2D89-4FBB-8730-7209260B98E9}"/>
    <cellStyle name="常规 31 3" xfId="2153" xr:uid="{F7860F36-2D1B-4D11-849E-D685A0F37856}"/>
    <cellStyle name="常规 31 4" xfId="2154" xr:uid="{06059038-A2A3-40A7-852E-91EFE33A2858}"/>
    <cellStyle name="常规 31 5" xfId="2155" xr:uid="{EE3B58E6-236C-4540-8F2B-AB89572AA87D}"/>
    <cellStyle name="常规 31 6" xfId="2156" xr:uid="{CA0F27C2-6ECD-41EB-9C25-41AAD4815483}"/>
    <cellStyle name="常规 31 7" xfId="2157" xr:uid="{00C817F4-1C88-4673-99AE-CBDB8922393F}"/>
    <cellStyle name="常规 31 8" xfId="2158" xr:uid="{32A0F52F-73CA-485C-8157-8A7CC94C1053}"/>
    <cellStyle name="常规 31 9" xfId="2159" xr:uid="{E49F36AF-E36A-4394-A2D3-80695170F310}"/>
    <cellStyle name="常规 31_Sheet1" xfId="2160" xr:uid="{F9E43137-12F8-41B5-A44D-9888C16C8A75}"/>
    <cellStyle name="常规 32" xfId="15" xr:uid="{9F5225FC-4872-4F96-96CC-56A0399BDA8E}"/>
    <cellStyle name="常规 32 2" xfId="2161" xr:uid="{A254D950-843E-4381-B2C3-4E1805AD4F06}"/>
    <cellStyle name="常规 32_Sheet1" xfId="2162" xr:uid="{3112D63A-3284-4564-8CBB-6C0E595A90B4}"/>
    <cellStyle name="常规 33" xfId="2163" xr:uid="{DC3DA3EE-9C4D-4984-ABA0-4EFFEA38D079}"/>
    <cellStyle name="常规 33 2" xfId="2164" xr:uid="{0756CF0D-0D1D-41B0-8C7A-99E7DFA2FF00}"/>
    <cellStyle name="常规 33 3" xfId="2165" xr:uid="{EA776F55-967B-4FCA-BC06-209A1402E327}"/>
    <cellStyle name="常规 33_Sheet1" xfId="2166" xr:uid="{F674D351-76B4-49EA-B522-6FB7CF88D131}"/>
    <cellStyle name="常规 34" xfId="13" xr:uid="{00000000-0005-0000-0000-000008000000}"/>
    <cellStyle name="常规 34 2" xfId="2168" xr:uid="{ECCF9234-7C0A-492B-B35D-D3821010C72B}"/>
    <cellStyle name="常规 34 3" xfId="2169" xr:uid="{16CB8978-B189-41F0-8BE2-31D8B5968F47}"/>
    <cellStyle name="常规 34 4" xfId="2167" xr:uid="{CCA84D86-F5C2-4D40-9BE8-25EE30557AD7}"/>
    <cellStyle name="常规 34_Sheet1" xfId="2170" xr:uid="{D0973253-4E32-4357-96F4-DADAC125A4BF}"/>
    <cellStyle name="常规 35" xfId="2171" xr:uid="{B9DE6BB4-D486-4A85-B8E9-D0ED6189F7AA}"/>
    <cellStyle name="常规 35 2" xfId="2172" xr:uid="{EB754419-040E-408D-9CEC-A29625FE5155}"/>
    <cellStyle name="常规 35 3" xfId="2173" xr:uid="{1A8FD291-ADC9-49C5-A912-2B1FD048A24F}"/>
    <cellStyle name="常规 35_Sheet1" xfId="2174" xr:uid="{40B79CA4-A9A9-45E4-BBE1-3CE04B1C6364}"/>
    <cellStyle name="常规 36" xfId="2175" xr:uid="{B9031ABF-667D-4DA4-AB88-C4A9A9E00C99}"/>
    <cellStyle name="常规 36 2" xfId="2176" xr:uid="{59E8891B-9379-482E-AED2-3E75A0D5AEEF}"/>
    <cellStyle name="常规 36 3" xfId="2177" xr:uid="{0F4A049A-FBB6-471A-9E48-427505CBFA1B}"/>
    <cellStyle name="常规 36_Sheet1" xfId="2178" xr:uid="{1698BA78-FACD-49A0-B905-A8F7B4E37979}"/>
    <cellStyle name="常规 37" xfId="2179" xr:uid="{E67ABEF4-55F9-4C2E-8516-83937626CC3D}"/>
    <cellStyle name="常规 38" xfId="2180" xr:uid="{2E692E61-2C7E-4A78-957A-A59C36581F62}"/>
    <cellStyle name="常规 39" xfId="2181" xr:uid="{B47D97CC-6F96-4D07-A0D4-0ADDD1894CCC}"/>
    <cellStyle name="常规 39 2" xfId="2182" xr:uid="{6FD2BF66-6362-487E-A424-ADE5AB266592}"/>
    <cellStyle name="常规 39_Sheet1" xfId="2183" xr:uid="{82A70119-BF39-4597-836F-3960896A5763}"/>
    <cellStyle name="常规 4" xfId="2184" xr:uid="{B2097D56-616D-4159-9933-1563F854CE21}"/>
    <cellStyle name="常规 4 10" xfId="2185" xr:uid="{F045B6E9-9A4A-40E8-AAB2-1E9B0E7355C3}"/>
    <cellStyle name="常规 4 11" xfId="2186" xr:uid="{84E2469C-0C21-4389-B197-BB7ABBE03DC6}"/>
    <cellStyle name="常规 4 12" xfId="2187" xr:uid="{E4C37F0F-AFDA-4CC0-B852-491C71000B1C}"/>
    <cellStyle name="常规 4 13" xfId="2188" xr:uid="{5FD4CA5E-975E-40ED-A9BC-983807DCC0DC}"/>
    <cellStyle name="常规 4 14" xfId="2189" xr:uid="{E44031E3-BDCA-4827-A229-A85CFE0AB3B0}"/>
    <cellStyle name="常规 4 15" xfId="2190" xr:uid="{BF3EA42E-4D61-4D94-B4D8-1B43A1D4E904}"/>
    <cellStyle name="常规 4 16" xfId="2191" xr:uid="{C8EAEFAE-C792-4C0E-B06E-EA67B07B3C0A}"/>
    <cellStyle name="常规 4 17" xfId="2192" xr:uid="{231E1B0E-52A1-446D-AFA9-4A895FCF533F}"/>
    <cellStyle name="常规 4 18" xfId="2193" xr:uid="{B805407B-8746-4145-B6C9-CE2C20F45872}"/>
    <cellStyle name="常规 4 19" xfId="2194" xr:uid="{B1201034-9FEE-4454-922A-CCEEF6127044}"/>
    <cellStyle name="常规 4 2" xfId="2195" xr:uid="{0EA9A9A3-897E-4796-8B4F-94370B828F75}"/>
    <cellStyle name="常规 4 2 10" xfId="2196" xr:uid="{E3EC3FA7-4784-460E-97C1-39D34A9599D2}"/>
    <cellStyle name="常规 4 2 11" xfId="2197" xr:uid="{1934372F-5128-4932-82E5-99308196325E}"/>
    <cellStyle name="常规 4 2 2" xfId="2198" xr:uid="{54419BAA-A5B5-4CE4-8B13-4B2B6C4A73D1}"/>
    <cellStyle name="常规 4 2 2 2" xfId="2199" xr:uid="{728FEB80-C279-4CFA-BE27-B94EB07D5A4F}"/>
    <cellStyle name="常规 4 2 2_Sheet1" xfId="2200" xr:uid="{2815B80E-1ED6-41A5-AE88-A4754BCB691F}"/>
    <cellStyle name="常规 4 2 3" xfId="2201" xr:uid="{6CED5B0E-48CF-4B94-85A7-971D72C28621}"/>
    <cellStyle name="常规 4 2 4" xfId="2202" xr:uid="{6F8CBE1D-E173-4FA8-BD77-298936BB46F9}"/>
    <cellStyle name="常规 4 2 5" xfId="2203" xr:uid="{3FE2765C-E083-475D-865A-0805C509603F}"/>
    <cellStyle name="常规 4 2 6" xfId="2204" xr:uid="{5F5199EA-1163-4797-944A-7A43133704CD}"/>
    <cellStyle name="常规 4 2 7" xfId="2205" xr:uid="{0CA35412-0FB1-4EDF-8BBC-D21287018A61}"/>
    <cellStyle name="常规 4 2 8" xfId="2206" xr:uid="{BE559811-448E-4B8C-8BFB-E0E7C0592631}"/>
    <cellStyle name="常规 4 2 9" xfId="2207" xr:uid="{29E9057A-7FA4-4A5F-9E7F-8BE8514AE897}"/>
    <cellStyle name="常规 4 2_Sheet1" xfId="2208" xr:uid="{21EA5C00-893D-4852-9ADB-3BE8874FE036}"/>
    <cellStyle name="常规 4 20" xfId="2209" xr:uid="{F9560F5D-5BD3-4C6F-BB43-00646FA47CEA}"/>
    <cellStyle name="常规 4 21" xfId="2210" xr:uid="{14794E1F-95E6-4F45-A4B8-F43477E1BB08}"/>
    <cellStyle name="常规 4 22" xfId="2211" xr:uid="{5509B03B-690B-4E17-B340-28F568EC95AA}"/>
    <cellStyle name="常规 4 23" xfId="2212" xr:uid="{C7D79653-6653-43BE-AB15-139FF4C8399A}"/>
    <cellStyle name="常规 4 24" xfId="2213" xr:uid="{6778B695-5494-4422-877F-7F2646E992BD}"/>
    <cellStyle name="常规 4 25" xfId="2214" xr:uid="{4E3C4950-6466-4AFB-914C-0D7D1830F538}"/>
    <cellStyle name="常规 4 26" xfId="2215" xr:uid="{748A85E9-602B-4903-8945-E29D8E3F2D12}"/>
    <cellStyle name="常规 4 27" xfId="2216" xr:uid="{9A94B021-1EC9-4596-A97B-E66AB94C6CCC}"/>
    <cellStyle name="常规 4 28" xfId="2217" xr:uid="{2D87E77E-2FE7-4966-B613-867B9AF75223}"/>
    <cellStyle name="常规 4 29" xfId="2218" xr:uid="{CCA718C8-DECB-4DEA-86F7-92B9D6AB6437}"/>
    <cellStyle name="常规 4 3" xfId="2219" xr:uid="{49C7E624-253F-4013-81CD-80D4AA7E6E3B}"/>
    <cellStyle name="常规 4 3 2" xfId="2220" xr:uid="{AEE176D3-B286-4447-BD13-98C010522106}"/>
    <cellStyle name="常规 4 3_Sheet1" xfId="2221" xr:uid="{4CF4AAE4-C248-46F4-8BFC-0F9A3ED20558}"/>
    <cellStyle name="常规 4 30" xfId="2222" xr:uid="{DB784BB3-197E-47C1-8D0F-4D6EB767B8DA}"/>
    <cellStyle name="常规 4 31" xfId="2223" xr:uid="{D60624EA-DABD-408E-9218-FB752722AA7C}"/>
    <cellStyle name="常规 4 32" xfId="2224" xr:uid="{ECA5C3A5-A72E-4412-8701-DFE4ED1ED736}"/>
    <cellStyle name="常规 4 33" xfId="2225" xr:uid="{09620F68-C348-48AA-BCBD-06DD64E7A22E}"/>
    <cellStyle name="常规 4 34" xfId="2226" xr:uid="{002EBC84-76B8-4FD4-9009-65D0161E5801}"/>
    <cellStyle name="常规 4 35" xfId="2227" xr:uid="{FC6A4EEB-3AD1-46B1-8789-29B57C2355D8}"/>
    <cellStyle name="常规 4 36" xfId="2228" xr:uid="{392B92B8-9472-44CE-8255-485DC4915B02}"/>
    <cellStyle name="常规 4 37" xfId="2229" xr:uid="{BA8330B7-EE57-49B1-ABCA-0151549DD0ED}"/>
    <cellStyle name="常规 4 38" xfId="2230" xr:uid="{DB8C140C-1728-451C-8DF8-F6805E833E6C}"/>
    <cellStyle name="常规 4 39" xfId="2231" xr:uid="{0D1C4048-1594-436B-9482-F8EA1C5D4907}"/>
    <cellStyle name="常规 4 4" xfId="2232" xr:uid="{C12548EA-F128-4605-B030-DACF71B27E0D}"/>
    <cellStyle name="常规 4 4 2" xfId="2233" xr:uid="{E2BBEF88-3767-41E8-95FB-6192FAF49BAD}"/>
    <cellStyle name="常规 4 4_Sheet1" xfId="2234" xr:uid="{B2B2925D-311D-4822-91BC-5522E5AD93F3}"/>
    <cellStyle name="常规 4 40" xfId="2235" xr:uid="{BD5DD020-7BEA-46DE-946E-B1D52D5574A3}"/>
    <cellStyle name="常规 4 41" xfId="2236" xr:uid="{F48F43EC-4171-4FE8-B3A7-9C45912B4D50}"/>
    <cellStyle name="常规 4 42" xfId="2237" xr:uid="{932BF354-27C1-4F0A-B0F8-A1450DEDBDCA}"/>
    <cellStyle name="常规 4 43" xfId="2238" xr:uid="{81FFD4DD-FA1B-4D1C-AC8E-20CC60766AE1}"/>
    <cellStyle name="常规 4 5" xfId="2239" xr:uid="{C929F45D-C92F-469C-826F-64028709B6CB}"/>
    <cellStyle name="常规 4 5 2" xfId="2240" xr:uid="{209F9469-EBD4-4CCF-9833-8C0F7D124042}"/>
    <cellStyle name="常规 4 5_Sheet1" xfId="2241" xr:uid="{9B842090-1AD6-4424-9A76-AD63E1515A37}"/>
    <cellStyle name="常规 4 6" xfId="2242" xr:uid="{201AC191-47FA-4D6A-9CCF-AC13A6B43D82}"/>
    <cellStyle name="常规 4 6 2" xfId="2243" xr:uid="{65CF3CA0-0A3D-4057-8C6D-E7694B87214B}"/>
    <cellStyle name="常规 4 6_Sheet1" xfId="2244" xr:uid="{08E919F3-6FA3-47D2-83FE-2479C5113A27}"/>
    <cellStyle name="常规 4 7" xfId="2245" xr:uid="{0699B5D6-5917-4429-906E-9575696606B1}"/>
    <cellStyle name="常规 4 7 2" xfId="2246" xr:uid="{6DE3306E-585E-4E0D-B92E-0ED07EF4BEF2}"/>
    <cellStyle name="常规 4 7_Sheet1" xfId="2247" xr:uid="{9DA3E814-1C7A-4342-B3B2-5D2A3AE3D43F}"/>
    <cellStyle name="常规 4 8" xfId="2248" xr:uid="{16AA4F9E-26E3-4AE9-861F-5B319F3AE964}"/>
    <cellStyle name="常规 4 8 2" xfId="2249" xr:uid="{7BC0BF0F-80A8-44E6-BEE2-51188B1623BA}"/>
    <cellStyle name="常规 4 8_Sheet1" xfId="2250" xr:uid="{6285BB94-1EC0-4AC7-B4E0-8B81B90CB769}"/>
    <cellStyle name="常规 4 9" xfId="2251" xr:uid="{52B53C1D-477F-43B7-996C-8C596B4748B2}"/>
    <cellStyle name="常规 4_Sheet1" xfId="2252" xr:uid="{D5587831-4A4D-4E7D-BBE4-16D34CEAE1E4}"/>
    <cellStyle name="常规 40" xfId="2253" xr:uid="{E15DC285-3BAF-4087-8A3E-183554F68DB2}"/>
    <cellStyle name="常规 41" xfId="2254" xr:uid="{F781C8BA-63C1-4FDE-BB18-9A1898C253C2}"/>
    <cellStyle name="常规 42" xfId="2255" xr:uid="{27F1F88E-84F2-4F78-9FC7-94A358B6949F}"/>
    <cellStyle name="常规 43" xfId="2256" xr:uid="{8DCF3E4D-4FC3-4226-ACF7-EBD65C063533}"/>
    <cellStyle name="常规 44" xfId="2257" xr:uid="{266130D1-733F-417C-9C93-A71759D42C31}"/>
    <cellStyle name="常规 44 2" xfId="2258" xr:uid="{A5247BD4-56BF-4C38-88B3-036BDF95ABC8}"/>
    <cellStyle name="常规 45" xfId="2259" xr:uid="{3A814232-1FC3-484A-BB31-6277F127D1FE}"/>
    <cellStyle name="常规 45 2" xfId="2260" xr:uid="{44E7563E-07ED-4438-803E-878BF4ECC4AC}"/>
    <cellStyle name="常规 46" xfId="2261" xr:uid="{2FEDA129-DAEE-4580-9C18-FC7304213AC4}"/>
    <cellStyle name="常规 46 2" xfId="2262" xr:uid="{B4D1B169-43CA-44A1-854E-4A12551B2DF0}"/>
    <cellStyle name="常规 47" xfId="2263" xr:uid="{E5414F0A-8E68-40D4-8E10-B6351789089A}"/>
    <cellStyle name="常规 47 2" xfId="2264" xr:uid="{B6D1837B-E2AF-4A48-9BC5-B243030A91FF}"/>
    <cellStyle name="常规 48" xfId="2265" xr:uid="{9E2FC553-9CBF-42F8-A5EE-1E509C619F94}"/>
    <cellStyle name="常规 48 2" xfId="2266" xr:uid="{056EE082-9603-495B-A901-C67C1FE51EA6}"/>
    <cellStyle name="常规 49" xfId="2267" xr:uid="{4B53469C-1C6D-4685-AEB2-24D01734CE91}"/>
    <cellStyle name="常规 49 2" xfId="2268" xr:uid="{3C38F4E8-7E44-41B4-A4E6-A081117D4980}"/>
    <cellStyle name="常规 5" xfId="2269" xr:uid="{E0F2D8A2-F19F-4CA5-A84D-8AC59AF15E02}"/>
    <cellStyle name="常规 5 10" xfId="2270" xr:uid="{4904E231-3B23-4B1B-9A3D-C69470756349}"/>
    <cellStyle name="常规 5 11" xfId="2271" xr:uid="{93D11714-A1E0-4ADC-81D1-6517EBABD3FD}"/>
    <cellStyle name="常规 5 12" xfId="2272" xr:uid="{DDE8C7E1-ACE8-4E76-B5E5-574F3BB1C28C}"/>
    <cellStyle name="常规 5 13" xfId="2273" xr:uid="{C37B0E60-3D38-4769-B031-E8D7363AE505}"/>
    <cellStyle name="常规 5 14" xfId="2274" xr:uid="{7B8B7F9F-F4EF-480E-8713-D403FBD23B18}"/>
    <cellStyle name="常规 5 15" xfId="2275" xr:uid="{50955D15-8478-42CA-9ACA-6A0D10C0938C}"/>
    <cellStyle name="常规 5 16" xfId="2276" xr:uid="{AC802CD3-FB9D-48E8-82BE-B4D61EF2BD64}"/>
    <cellStyle name="常规 5 17" xfId="2277" xr:uid="{7D8D0EA9-855D-4DD1-8156-DB4FBE57AC2B}"/>
    <cellStyle name="常规 5 18" xfId="2278" xr:uid="{E486BCCF-45AB-4D20-B172-B41FF9FCD151}"/>
    <cellStyle name="常规 5 19" xfId="2279" xr:uid="{61D5CC3D-FB3F-4743-8200-0DC7B76447EA}"/>
    <cellStyle name="常规 5 2" xfId="2280" xr:uid="{AC72094C-4D8A-4D22-AE8A-397996C369CE}"/>
    <cellStyle name="常规 5 2 2" xfId="2281" xr:uid="{3F7CEFE9-B339-46BB-A178-1DB66E60A202}"/>
    <cellStyle name="常规 5 2 3" xfId="2282" xr:uid="{29C447C4-0BCA-48EB-A8FE-4EC3B3E08195}"/>
    <cellStyle name="常规 5 2 4" xfId="2283" xr:uid="{A97979E4-C660-455D-9F3A-D99C3AD8CF57}"/>
    <cellStyle name="常规 5 2_DownLoad1(报朱建军)" xfId="2284" xr:uid="{7A93F839-8EBE-4F29-8F93-29810832B707}"/>
    <cellStyle name="常规 5 20" xfId="2285" xr:uid="{C1CF3125-E3D7-4851-8B64-0069072F24E8}"/>
    <cellStyle name="常规 5 21" xfId="2286" xr:uid="{D395028B-D942-4319-8D8F-C7A0195C0317}"/>
    <cellStyle name="常规 5 22" xfId="2287" xr:uid="{8E175DB4-8B3C-425D-87B8-437DD756609B}"/>
    <cellStyle name="常规 5 23" xfId="2288" xr:uid="{71D8088B-3EC4-4EA4-B461-07298E57A964}"/>
    <cellStyle name="常规 5 24" xfId="2289" xr:uid="{B17DA1E6-6AC3-42EA-85FA-38E944F9E71C}"/>
    <cellStyle name="常规 5 25" xfId="2290" xr:uid="{70A96FCD-9D3A-400B-ABA5-D27CE21C50CF}"/>
    <cellStyle name="常规 5 26" xfId="2291" xr:uid="{94FE3032-C4FE-4733-A016-DA7C20EE987A}"/>
    <cellStyle name="常规 5 27" xfId="2292" xr:uid="{C497081F-0704-41F5-B22F-40C13C1A7DAF}"/>
    <cellStyle name="常规 5 28" xfId="2293" xr:uid="{9F4598EE-7C1C-41D8-A360-239B9BB3B186}"/>
    <cellStyle name="常规 5 29" xfId="2294" xr:uid="{185BE3C0-8E74-494F-8175-68C7CAE6D067}"/>
    <cellStyle name="常规 5 3" xfId="2295" xr:uid="{69E5AC58-F3D3-4822-8669-587FF437F309}"/>
    <cellStyle name="常规 5 3 2" xfId="2296" xr:uid="{64B55C1B-CA9C-4836-846D-19C7B0749E28}"/>
    <cellStyle name="常规 5 3_Sheet1" xfId="2297" xr:uid="{E6560555-E236-4E4F-91E5-F7AE54028FF9}"/>
    <cellStyle name="常规 5 30" xfId="2298" xr:uid="{0473FFB1-B446-4081-830C-06F36A0309D6}"/>
    <cellStyle name="常规 5 31" xfId="2299" xr:uid="{4C4E487D-BB52-4227-AA0E-2342E089216B}"/>
    <cellStyle name="常规 5 32" xfId="2300" xr:uid="{EDB21CC4-48EA-4462-83E6-B73DB43C8681}"/>
    <cellStyle name="常规 5 33" xfId="2301" xr:uid="{FC9CCF39-13BE-49DF-B083-9B57E61D3525}"/>
    <cellStyle name="常规 5 34" xfId="2302" xr:uid="{5D0D9173-B5F9-43B0-92DD-6D623B7F2023}"/>
    <cellStyle name="常规 5 35" xfId="2303" xr:uid="{82580A39-839A-4457-B10A-01AFA20F316E}"/>
    <cellStyle name="常规 5 36" xfId="2304" xr:uid="{258AD4E0-9AD0-496D-8C58-BFFE77EA15CA}"/>
    <cellStyle name="常规 5 37" xfId="2305" xr:uid="{BE51082B-E22B-4C9D-A7CA-5CA2D726FED7}"/>
    <cellStyle name="常规 5 38" xfId="2306" xr:uid="{B343791D-D6EA-4916-9B6A-F09DE80035A8}"/>
    <cellStyle name="常规 5 39" xfId="2307" xr:uid="{5F3305B2-AFF2-4C22-9631-2D8D3C2AF3B5}"/>
    <cellStyle name="常规 5 4" xfId="2308" xr:uid="{DB70F6DE-F237-46B8-9BA7-1D2651B2D26A}"/>
    <cellStyle name="常规 5 40" xfId="2309" xr:uid="{F09B06BA-1CD0-4E24-9F59-151099BE7C6D}"/>
    <cellStyle name="常规 5 5" xfId="2310" xr:uid="{B792B57A-A31D-4751-A268-4730D27BFBAA}"/>
    <cellStyle name="常规 5 6" xfId="2311" xr:uid="{7D517D91-1337-4951-BE10-46401BAAF04F}"/>
    <cellStyle name="常规 5 7" xfId="2312" xr:uid="{DB54B83B-4C6B-4C01-9A73-37FCBAA29CC3}"/>
    <cellStyle name="常规 5 8" xfId="2313" xr:uid="{90307B95-E086-4DF3-AEAD-6F477E467115}"/>
    <cellStyle name="常规 5 9" xfId="2314" xr:uid="{1777EE51-27DA-4459-BEF9-800BE7D61FA1}"/>
    <cellStyle name="常规 5_DownLoad1(报朱建军)" xfId="2315" xr:uid="{68D6588F-9E5E-479D-A425-746859371D07}"/>
    <cellStyle name="常规 50" xfId="2316" xr:uid="{32AF1435-E672-4315-A748-686D83C7B6DF}"/>
    <cellStyle name="常规 51" xfId="2317" xr:uid="{83FC5203-C671-4641-91AD-6DA757CC71A4}"/>
    <cellStyle name="常规 52" xfId="2318" xr:uid="{DCE8F5B1-887B-4159-B47C-A66177168601}"/>
    <cellStyle name="常规 53" xfId="2319" xr:uid="{EEBC6FB3-EF8C-4B6C-BD3C-3E32B983AB49}"/>
    <cellStyle name="常规 54" xfId="2320" xr:uid="{5126C58E-67D1-431E-8EC2-28FFC6A2E72B}"/>
    <cellStyle name="常规 55" xfId="2321" xr:uid="{B701489A-1A47-4206-A603-A38CA0419356}"/>
    <cellStyle name="常规 56" xfId="2322" xr:uid="{5CAB8883-47AF-4651-AD83-BD9D3ACE1852}"/>
    <cellStyle name="常规 57" xfId="2323" xr:uid="{AE5B9CB4-149E-4E53-AE25-04E01E20F47E}"/>
    <cellStyle name="常规 58" xfId="2324" xr:uid="{B6B64F87-68AB-441E-A404-948A23C12A77}"/>
    <cellStyle name="常规 59" xfId="2325" xr:uid="{AF9AECD0-4208-4CA8-BBF7-6BCD8512B122}"/>
    <cellStyle name="常规 6" xfId="2326" xr:uid="{D958B99D-00A8-43E7-B853-6C212D26F469}"/>
    <cellStyle name="常规 6 2" xfId="2327" xr:uid="{3232A15E-9833-48F1-A0F6-17A8B0F71ADF}"/>
    <cellStyle name="常规 6 2 2" xfId="2328" xr:uid="{A2B6099C-F291-4BC3-9FF3-734326ECE21B}"/>
    <cellStyle name="常规 6 2 3" xfId="2329" xr:uid="{0C593A0F-C1A2-44DD-8D08-37BBFFFCC3B1}"/>
    <cellStyle name="常规 6 2_电力企业收益法表格双辽发电厂" xfId="2330" xr:uid="{032371CB-3B3D-4CD6-8FA8-BF0BC914C41D}"/>
    <cellStyle name="常规 6 3" xfId="2331" xr:uid="{676147CA-3C8E-4958-88A4-21B21A4613EC}"/>
    <cellStyle name="常规 6 3 2" xfId="2332" xr:uid="{2B65226A-CB7A-47D8-B6DB-2B21EE7978A4}"/>
    <cellStyle name="常规 6 3_Sheet1" xfId="2333" xr:uid="{4B799E1D-D3B9-40A8-BCCA-2355CA69E21C}"/>
    <cellStyle name="常规 6 4" xfId="2334" xr:uid="{E75DEDFF-FD6B-421E-89AD-8752682824FE}"/>
    <cellStyle name="常规 6 4 2" xfId="2335" xr:uid="{3ABC9D8B-B85E-47E5-8104-C82C37E440EA}"/>
    <cellStyle name="常规 6 4_Sheet1" xfId="2336" xr:uid="{B5CA7ED7-3954-4B05-BB85-FD6A2D7371CB}"/>
    <cellStyle name="常规 6 5" xfId="2337" xr:uid="{D813119C-B9B3-4F06-B2D6-81DC0F288755}"/>
    <cellStyle name="常规 6 5 2" xfId="2338" xr:uid="{BCF89EB5-E85A-4DEB-ACD6-FEA4228E2F8D}"/>
    <cellStyle name="常规 6 5_Sheet1" xfId="2339" xr:uid="{820B6D5D-0D7D-4410-8EBD-51E57AFE8ECF}"/>
    <cellStyle name="常规 6 6" xfId="2340" xr:uid="{F0AB2690-32E9-4F2F-A15E-8FA2EECC5549}"/>
    <cellStyle name="常规 6 6 2" xfId="2341" xr:uid="{B8061830-8C9E-4669-8091-812201C78429}"/>
    <cellStyle name="常规 6 6_Sheet1" xfId="2342" xr:uid="{2BD523C5-910C-49CC-9E4A-F5028A4F8541}"/>
    <cellStyle name="常规 6 7" xfId="2343" xr:uid="{5DE979A9-4567-4782-80D3-D2CC3DACA2AA}"/>
    <cellStyle name="常规 6 8" xfId="2344" xr:uid="{4A3DAF69-134B-40F5-B925-11FD590B640E}"/>
    <cellStyle name="常规 6_汇总表" xfId="2345" xr:uid="{4026B7A5-95A2-4906-9DAD-33DC3F09933F}"/>
    <cellStyle name="常规 60" xfId="2346" xr:uid="{636620A8-FBAA-44BC-9730-BD2CFC81CFEE}"/>
    <cellStyle name="常规 61" xfId="2347" xr:uid="{1DAC08E9-FEE3-4B5F-95CB-5E7FF61FF92E}"/>
    <cellStyle name="常规 62" xfId="2348" xr:uid="{A58F06BA-F9E4-4949-8E92-E4D9F479502A}"/>
    <cellStyle name="常规 63" xfId="2349" xr:uid="{001C77A0-BA8E-4A71-B2D8-552809DB84EF}"/>
    <cellStyle name="常规 64" xfId="2350" xr:uid="{9B549A6E-12B7-4E53-A884-8F76B5E554DF}"/>
    <cellStyle name="常规 65" xfId="2351" xr:uid="{86A60D76-798D-4D53-B3FB-EA08F2AEF25E}"/>
    <cellStyle name="常规 66" xfId="2352" xr:uid="{7F55CA88-21B6-467C-AFA8-ABFE76B47B12}"/>
    <cellStyle name="常规 67" xfId="2353" xr:uid="{504F0108-8755-4E2D-BEC0-56F8FB8FDDF4}"/>
    <cellStyle name="常规 68" xfId="2354" xr:uid="{E4028179-AC00-4FC0-AD29-7A39CA071A20}"/>
    <cellStyle name="常规 69" xfId="2355" xr:uid="{8095E7B8-A40F-4571-AFE8-CC38F120AA34}"/>
    <cellStyle name="常规 7" xfId="11" xr:uid="{00000000-0005-0000-0000-000009000000}"/>
    <cellStyle name="常规 7 10" xfId="2357" xr:uid="{08DB6AA4-2233-4497-8278-FDCF870FE0E8}"/>
    <cellStyle name="常规 7 11" xfId="2358" xr:uid="{535B2750-C052-4748-82B9-C49E4CB8418C}"/>
    <cellStyle name="常规 7 12" xfId="2359" xr:uid="{D0FAAD3C-A1C6-4B51-AA01-DD1F017CB65C}"/>
    <cellStyle name="常规 7 13" xfId="2360" xr:uid="{5999503C-1511-4DDB-8055-58197BB1901E}"/>
    <cellStyle name="常规 7 14" xfId="2361" xr:uid="{15078722-C530-4A20-99BB-AA716CC6CF35}"/>
    <cellStyle name="常规 7 15" xfId="2362" xr:uid="{02D1301E-9069-4A17-B193-1B2AC3A80602}"/>
    <cellStyle name="常规 7 16" xfId="2363" xr:uid="{B2917F1E-BEE2-4A2D-8D95-5A9E7FF0DCE4}"/>
    <cellStyle name="常规 7 17" xfId="2364" xr:uid="{34FB8F44-7FE4-4414-B228-10A2EE873780}"/>
    <cellStyle name="常规 7 18" xfId="2365" xr:uid="{32CE2161-08ED-4D36-BEB1-A2844CFECFAD}"/>
    <cellStyle name="常规 7 19" xfId="2366" xr:uid="{6C9BC139-7DD4-4E73-8294-8B47A9CE624F}"/>
    <cellStyle name="常规 7 2" xfId="2367" xr:uid="{E3BDCA09-4866-4831-B239-F22DA6E05664}"/>
    <cellStyle name="常规 7 2 2" xfId="2368" xr:uid="{E8DB2B0B-FE30-4710-9029-5AC33EEA5568}"/>
    <cellStyle name="常规 7 20" xfId="2369" xr:uid="{4C4A9738-37B5-4FB1-B2FA-4A29314D1B95}"/>
    <cellStyle name="常规 7 21" xfId="2370" xr:uid="{1CD10A79-03BF-4445-90DD-AB1C5F641413}"/>
    <cellStyle name="常规 7 22" xfId="2371" xr:uid="{38203DC5-A1AC-45ED-B0BC-E9514A0E6D80}"/>
    <cellStyle name="常规 7 23" xfId="2372" xr:uid="{E74AB81B-3519-44FA-9F64-F928289FADA0}"/>
    <cellStyle name="常规 7 24" xfId="2373" xr:uid="{3268D275-312D-4B67-B105-11747242AD6B}"/>
    <cellStyle name="常规 7 25" xfId="2374" xr:uid="{5994B334-C72D-476A-ABEC-AD59C1724AC7}"/>
    <cellStyle name="常规 7 26" xfId="2375" xr:uid="{F16A6DD3-80EF-443E-9881-C3A955BD9614}"/>
    <cellStyle name="常规 7 27" xfId="2376" xr:uid="{2553426C-A879-4E01-8531-20CB5DBDD259}"/>
    <cellStyle name="常规 7 28" xfId="2377" xr:uid="{92C3B0A2-A424-49A4-B5D5-6CA2DDB3F9F2}"/>
    <cellStyle name="常规 7 29" xfId="2378" xr:uid="{C59A404B-2193-4580-8624-105E5E0ADBF7}"/>
    <cellStyle name="常规 7 3" xfId="2379" xr:uid="{A493EEFE-9E47-4734-85D3-40EFF0D2BC64}"/>
    <cellStyle name="常规 7 30" xfId="2356" xr:uid="{2076EAE1-8B5E-433A-84AF-E6F7A5E0112C}"/>
    <cellStyle name="常规 7 4" xfId="2380" xr:uid="{E0E6AD96-531A-4263-942C-074028B0943C}"/>
    <cellStyle name="常规 7 5" xfId="2381" xr:uid="{ED563857-EA57-4DCB-9E9C-34270D52431C}"/>
    <cellStyle name="常规 7 6" xfId="2382" xr:uid="{DECF418F-4960-4DF1-9F5D-D52830B89ED1}"/>
    <cellStyle name="常规 7 7" xfId="2383" xr:uid="{F259781A-7F53-4E89-9FF4-EC9DFA1E13E1}"/>
    <cellStyle name="常规 7 8" xfId="2384" xr:uid="{87A705DE-5C28-470A-8A62-FDC71A78BF07}"/>
    <cellStyle name="常规 7 9" xfId="2385" xr:uid="{8D29922B-82B8-4DD4-BCAD-BC56925A94FC}"/>
    <cellStyle name="常规 7_现金流表" xfId="2386" xr:uid="{5952FC6C-AE87-4445-A471-121A7A69C946}"/>
    <cellStyle name="常规 70" xfId="2387" xr:uid="{138AA087-0658-4B40-9275-CA28629A328B}"/>
    <cellStyle name="常规 71" xfId="16" xr:uid="{62C29AF3-9D87-4294-B82A-5F37948071E8}"/>
    <cellStyle name="常规 72" xfId="3488" xr:uid="{08C3EEE2-0B5F-42D5-88B5-21B35DA45E56}"/>
    <cellStyle name="常规 74" xfId="2388" xr:uid="{59AA55A1-2047-4D66-8392-813EFB5C5016}"/>
    <cellStyle name="常规 8" xfId="2389" xr:uid="{37B96D08-3DC5-4BA2-9DFE-CC5BE84D886C}"/>
    <cellStyle name="常规 8 10" xfId="2390" xr:uid="{11A409A1-2BB4-4318-84FE-0BC83AA16D63}"/>
    <cellStyle name="常规 8 11" xfId="2391" xr:uid="{4414FD92-0A0F-4D40-A55B-1624DD021018}"/>
    <cellStyle name="常规 8 12" xfId="2392" xr:uid="{95F0FF68-0ED1-4EC5-9A3E-AC42FCBE139E}"/>
    <cellStyle name="常规 8 13" xfId="2393" xr:uid="{CE14E67D-31D5-4F58-889B-A01FA9478105}"/>
    <cellStyle name="常规 8 14" xfId="2394" xr:uid="{1052B022-6094-4FF3-8CC3-397E44E70CF1}"/>
    <cellStyle name="常规 8 15" xfId="2395" xr:uid="{BEDFF6D7-385C-4B5E-890B-1774B9401468}"/>
    <cellStyle name="常规 8 16" xfId="2396" xr:uid="{889D2834-7DB6-42AD-A4AE-E5310EBFEDF6}"/>
    <cellStyle name="常规 8 17" xfId="2397" xr:uid="{A025D930-9D23-4F79-BD82-CA66DB723369}"/>
    <cellStyle name="常规 8 18" xfId="2398" xr:uid="{2E2C554A-C8DA-4B3F-8F69-D46D3827DC68}"/>
    <cellStyle name="常规 8 19" xfId="2399" xr:uid="{0DCF966E-58F9-4067-856F-7E196DB8DF0A}"/>
    <cellStyle name="常规 8 2" xfId="2400" xr:uid="{E69A50E9-4CC0-4D2C-9EB9-37D6C6035A83}"/>
    <cellStyle name="常规 8 2 2" xfId="2401" xr:uid="{5C6DC31A-CE53-4C3A-AF65-588FE47F666A}"/>
    <cellStyle name="常规 8 2 3" xfId="2402" xr:uid="{B86542AA-D7DF-4519-AC03-730DB335D7D3}"/>
    <cellStyle name="常规 8 2 4" xfId="2403" xr:uid="{3EE8247E-4E29-4A7E-B1A6-44184C45DDFF}"/>
    <cellStyle name="常规 8 2_Sheet1" xfId="2404" xr:uid="{2A379879-025B-4FE1-AC3E-86E0DBBCAFDF}"/>
    <cellStyle name="常规 8 20" xfId="2405" xr:uid="{3A48F58E-2AB0-451A-A7C4-C9457DEE96A5}"/>
    <cellStyle name="常规 8 21" xfId="2406" xr:uid="{B00533D7-7CA1-437F-98F0-36DEFF2FA17E}"/>
    <cellStyle name="常规 8 22" xfId="2407" xr:uid="{FAD7BBA2-C5B2-47A2-816F-0112CC5BA262}"/>
    <cellStyle name="常规 8 23" xfId="2408" xr:uid="{0E8B8DCF-60B0-4E88-9201-48D341D5A134}"/>
    <cellStyle name="常规 8 24" xfId="2409" xr:uid="{466AF323-F820-4B70-8F9A-C308EC72C918}"/>
    <cellStyle name="常规 8 25" xfId="2410" xr:uid="{2D7B1054-1F9A-4C49-88D9-EA5EE81A309D}"/>
    <cellStyle name="常规 8 26" xfId="2411" xr:uid="{A8564633-BE3E-4A17-99B5-97002DB45CAA}"/>
    <cellStyle name="常规 8 27" xfId="2412" xr:uid="{7B8F14E9-C44A-4086-B168-2A45A537F6E4}"/>
    <cellStyle name="常规 8 28" xfId="2413" xr:uid="{5D5D0946-A725-4D62-B366-C0147A6C6106}"/>
    <cellStyle name="常规 8 3" xfId="2414" xr:uid="{06A3154D-3214-4D67-BF4D-1E1841AC3828}"/>
    <cellStyle name="常规 8 4" xfId="2415" xr:uid="{7386C7F5-CD22-473A-97D4-9259A31FAD62}"/>
    <cellStyle name="常规 8 5" xfId="2416" xr:uid="{98FE4FAA-7C9C-4B7C-87C7-F0FB45BBEEC9}"/>
    <cellStyle name="常规 8 6" xfId="2417" xr:uid="{61FFB159-FB22-44F5-A3C8-098C1DD6CBF5}"/>
    <cellStyle name="常规 8 7" xfId="2418" xr:uid="{9AC4A523-9133-4B20-BB28-C7124C8D96F1}"/>
    <cellStyle name="常规 8 8" xfId="2419" xr:uid="{ECB6690E-0184-4094-82EB-07CE26C8AC23}"/>
    <cellStyle name="常规 8 9" xfId="2420" xr:uid="{1A519AAF-4DE6-4A6B-B0AD-CDAA0E417113}"/>
    <cellStyle name="常规 8_现金流表" xfId="2421" xr:uid="{87CBFB0F-A4DD-42E7-B87A-5CDB343E1386}"/>
    <cellStyle name="常规 9" xfId="2422" xr:uid="{CB04EE31-1FF4-4D58-AEF7-520E7C61E444}"/>
    <cellStyle name="常规 9 2" xfId="2423" xr:uid="{EF84F00B-BA4C-4D83-A1C0-176F16E74998}"/>
    <cellStyle name="常规 9 3" xfId="2424" xr:uid="{BD495C30-2C04-451F-AB9B-9CBD812BB0A1}"/>
    <cellStyle name="常规 9 4" xfId="2425" xr:uid="{FFC87A49-289B-4953-B633-4B5ADED6F02C}"/>
    <cellStyle name="常规 9 5" xfId="2426" xr:uid="{1EE18ADA-EC0F-486E-92D7-EB6E8493A4E5}"/>
    <cellStyle name="常规 9_现金流表" xfId="2427" xr:uid="{982B0B1E-71BA-4270-8B8E-34E711AE600A}"/>
    <cellStyle name="常规_北仑 一期收益表" xfId="3486" xr:uid="{B51D0792-7629-4EA6-9F8A-8BBD0570795A}"/>
    <cellStyle name="常规_电力企业评估申报表" xfId="3487" xr:uid="{4399EEA9-E355-4DE1-9F0E-7011405ADB51}"/>
    <cellStyle name="常规_铁西一库 收益法模型5.16" xfId="3485" xr:uid="{C5A42ABD-A659-4B82-96C4-E54B11D5200D}"/>
    <cellStyle name="常规_五整体资产评估收益法" xfId="3484" xr:uid="{E1BD7955-E9B8-4954-8B2C-82B465B6EE0E}"/>
    <cellStyle name="超级链接_03飞天网景公司" xfId="2428" xr:uid="{161854B6-7A97-4892-89F2-94FF2C2738D1}"/>
    <cellStyle name="超链接" xfId="6" builtinId="8"/>
    <cellStyle name="超链接 10" xfId="2429" xr:uid="{F3700D6E-3DA2-4EED-83E5-37EBD8DEE5BC}"/>
    <cellStyle name="超链接 11" xfId="2430" xr:uid="{DF2B7F2A-9A00-4DBD-88B7-BD32CA925F59}"/>
    <cellStyle name="超链接 2" xfId="2431" xr:uid="{F8060B3F-C7E9-49C6-BDF2-5C3680F26590}"/>
    <cellStyle name="超链接 2 2" xfId="2432" xr:uid="{2B313594-71C2-4BF9-B584-70194CC35F7A}"/>
    <cellStyle name="超链接 2 2 2" xfId="2433" xr:uid="{4F99A6E9-82B3-4F91-B91A-87386A15EC0E}"/>
    <cellStyle name="超链接 2 2 3" xfId="2434" xr:uid="{9CAA9D94-625D-49D8-A459-1D7736B6C20E}"/>
    <cellStyle name="超链接 2 2_收益法明细表20100506-李雪飞" xfId="2435" xr:uid="{A557A757-C8E3-44F7-A5B6-0361F080C8FD}"/>
    <cellStyle name="超链接 2 3" xfId="2436" xr:uid="{C9EF38DF-06B3-4C5B-81EE-C72795C97CD6}"/>
    <cellStyle name="超链接 2 3 2" xfId="2437" xr:uid="{7FB5CBE1-7535-4F29-B807-906EB748B2F4}"/>
    <cellStyle name="超链接 2 3 3" xfId="2438" xr:uid="{CFA5D86E-0842-4FC4-9E32-739B6F6212A6}"/>
    <cellStyle name="超链接 2 3_电力企业收益法表格双辽发电厂" xfId="2439" xr:uid="{A55F0AC8-3C11-4C2F-B113-EAA6C5167D08}"/>
    <cellStyle name="超链接 2 4" xfId="2440" xr:uid="{07E1EA01-B921-4D64-AE61-03D13D0D719C}"/>
    <cellStyle name="超链接 2 5" xfId="2441" xr:uid="{A80627F0-2502-4B27-ACB7-912847535388}"/>
    <cellStyle name="超链接 2_管理费用预测表" xfId="2442" xr:uid="{D29859B7-DDE6-48E5-B01E-97E66EE73B30}"/>
    <cellStyle name="超链接 3" xfId="2443" xr:uid="{70ADDC21-A862-42A8-A349-9ED39AE6A1AB}"/>
    <cellStyle name="超链接 3 2" xfId="2444" xr:uid="{1BDD6D30-93BD-459C-B5CA-8D76BD2C3D46}"/>
    <cellStyle name="超链接 3 3" xfId="2445" xr:uid="{D80C2A50-8DBF-4079-9E62-BF836D842868}"/>
    <cellStyle name="超链接 3_收益法明细表20100506-李雪飞" xfId="2446" xr:uid="{616106B2-4B13-49FA-9C8F-765ECDCD5DB1}"/>
    <cellStyle name="超链接 4" xfId="2447" xr:uid="{A8966DA6-10DE-4A0E-9B53-CA7E87782651}"/>
    <cellStyle name="超链接 4 2" xfId="2448" xr:uid="{EC0532E9-E2A7-433A-B0B8-C65701508369}"/>
    <cellStyle name="超链接 4 3" xfId="2449" xr:uid="{25F80BCF-34D5-4BBD-AEAD-F47098CB0CDE}"/>
    <cellStyle name="超链接 4_Sheet1" xfId="2450" xr:uid="{DDD6C313-C573-4530-8152-B3659BF4D316}"/>
    <cellStyle name="超链接 5" xfId="2451" xr:uid="{10D50ACA-62BE-4CA4-BA95-81DE6A7EDC15}"/>
    <cellStyle name="超链接 6" xfId="2452" xr:uid="{6CCCEAA4-1FC8-4732-8DD7-2EED841A3ACB}"/>
    <cellStyle name="超链接 7" xfId="2453" xr:uid="{CA7E9442-E2D9-433F-B407-BDB0CB632A41}"/>
    <cellStyle name="超链接 8" xfId="2454" xr:uid="{89F55CA7-41F2-49C6-8820-314E92B57612}"/>
    <cellStyle name="超链接 9" xfId="2455" xr:uid="{DEAC10B4-19B5-4541-8A43-3DB3FB5B8CE4}"/>
    <cellStyle name="分级显示行_1_10--2其他收费权测算表" xfId="2456" xr:uid="{76AE4BA2-F478-4917-B919-BBBF3366BC4B}"/>
    <cellStyle name="輔色1" xfId="2457" xr:uid="{1BB07D33-9AD2-4F8F-BB51-40D870AD3D90}"/>
    <cellStyle name="輔色2" xfId="2458" xr:uid="{21375A06-D97D-447D-987B-59F7B20D12B0}"/>
    <cellStyle name="輔色3" xfId="2459" xr:uid="{05E409EA-B2F2-4DF3-A596-AB2C6815FE10}"/>
    <cellStyle name="輔色4" xfId="2460" xr:uid="{373B860F-19E0-484E-BEDE-9CCF6F34F967}"/>
    <cellStyle name="輔色5" xfId="2461" xr:uid="{21537CDD-D8C9-4CB7-A604-2331BCA01796}"/>
    <cellStyle name="輔色6" xfId="2462" xr:uid="{7A709EA1-91C0-4050-8EC8-8E76724471A3}"/>
    <cellStyle name="公司标准表" xfId="2463" xr:uid="{25A4526A-6F01-4F43-A197-9382239FC1A2}"/>
    <cellStyle name="公司标准表 2" xfId="2464" xr:uid="{D53E0269-A7A0-47E4-AAA4-6747271655BC}"/>
    <cellStyle name="公司标准表 2 2" xfId="2465" xr:uid="{7ED955FA-7826-4415-BF2B-48274D62A3B6}"/>
    <cellStyle name="公司标准表 2_Sheet1" xfId="2466" xr:uid="{BCB08C4B-77BC-4775-AE89-8CC20840FF59}"/>
    <cellStyle name="公司标准表 3" xfId="2467" xr:uid="{F396EB15-577E-46A2-A761-DC42ABD69AA0}"/>
    <cellStyle name="归盒啦_95" xfId="2468" xr:uid="{8B97ABA8-32A1-4717-906D-8DC3354A1BED}"/>
    <cellStyle name="好 2" xfId="2469" xr:uid="{7A5C5BE8-2C81-4DD9-9C61-C440E4433F1D}"/>
    <cellStyle name="好 2 2" xfId="2470" xr:uid="{552B9279-4294-4322-9A9C-31B7AC928968}"/>
    <cellStyle name="好 2_Sheet1" xfId="2471" xr:uid="{BA4AB3BB-6E9A-41AC-A9ED-A9B63AAA9180}"/>
    <cellStyle name="好 3" xfId="2472" xr:uid="{E9A250BF-CB31-4F50-AA52-6A17217EDED2}"/>
    <cellStyle name="好 4" xfId="2473" xr:uid="{993F48B5-5135-4778-BD8A-058F7697FD64}"/>
    <cellStyle name="好 5" xfId="2474" xr:uid="{F2F4A52C-3BB1-47EF-8D7A-01F4A9F00840}"/>
    <cellStyle name="好 6" xfId="2475" xr:uid="{F5151A87-1F9D-4876-BD89-ACE25CA0FA3E}"/>
    <cellStyle name="好 7" xfId="2476" xr:uid="{D6BF1952-AE9A-4ADC-BB59-014FB1BE97EF}"/>
    <cellStyle name="好__dxn_temp空白表页" xfId="2477" xr:uid="{A0C0C732-A60E-46E4-ACFB-5262CBB2B200}"/>
    <cellStyle name="好_04收益法8-6" xfId="2478" xr:uid="{DFE2A39E-FA84-47AA-A1DB-78B1AAC207C9}"/>
    <cellStyle name="好_0806成本法评估申报表-中卫" xfId="2479" xr:uid="{4F4BFDC6-56BB-4D77-BC27-185198B97614}"/>
    <cellStyle name="好_0806成本法评估申报表-中卫 2" xfId="2480" xr:uid="{45D00514-5F82-4A0F-B8A3-657556091F60}"/>
    <cellStyle name="好_0806成本法评估申报表-中卫_Sheet1" xfId="2481" xr:uid="{A6951C98-42C0-4361-ABE9-BFBE048D3B60}"/>
    <cellStyle name="好_0806成本法评估申报表-中卫_电力企业收益法表格双辽发电厂" xfId="2482" xr:uid="{F70B3DF7-A423-40C2-8BE3-949E599895F5}"/>
    <cellStyle name="好_0806成本法评估申报表-中卫_电力企业收益法表格双辽发电厂 2" xfId="2483" xr:uid="{EEFC8865-8431-4F3D-9D80-0E0C7F3A3AE2}"/>
    <cellStyle name="好_0806成本法评估申报表-中卫_电力企业收益法表格双辽发电厂_Sheet1" xfId="2484" xr:uid="{952A34DD-FBCD-4348-8053-C85F05B9397C}"/>
    <cellStyle name="好_0806成本法评估申报表-中卫_管理费用预测表" xfId="2485" xr:uid="{2824DF29-8BBC-42E7-AB11-9DA99C9D0AAE}"/>
    <cellStyle name="好_0806成本法评估申报表-中卫_管理费用预测表 2" xfId="2486" xr:uid="{27C73CEC-DF5E-4C2E-ACFA-D653C72D3E6C}"/>
    <cellStyle name="好_0806成本法评估申报表-中卫_管理费用预测表_Sheet1" xfId="2487" xr:uid="{CB417510-7E0F-4164-AB2B-758116FE19B2}"/>
    <cellStyle name="好_0806成本法评估申报表-中卫_收益法明细表20100506-李雪飞" xfId="2488" xr:uid="{D3CBDD56-900F-4D07-ACB7-F0B343331A97}"/>
    <cellStyle name="好_0806成本法评估申报表-中卫_收益法明细表20100506-李雪飞 2" xfId="2489" xr:uid="{682512D5-66B3-4D70-8AD1-425552187D6F}"/>
    <cellStyle name="好_0806成本法评估申报表-中卫_收益法明细表20100506-李雪飞_Sheet1" xfId="2490" xr:uid="{CEED9135-D0DB-43B5-B3E3-36D86B4BE9E0}"/>
    <cellStyle name="好_0806成本法评估申报表-中卫_收益法评估申报表(武汉燃料)2010-4-25" xfId="2491" xr:uid="{DDABE5ED-D23C-4576-B0AA-B0F6386E5429}"/>
    <cellStyle name="好_0806成本法评估申报表-中卫_收益法评估申报表(武汉燃料)2010-4-26" xfId="2492" xr:uid="{8A150F69-2BFA-4B4F-8643-506CD331ADF6}"/>
    <cellStyle name="好_0806成本法评估申报表-中卫_双鸭山收益法" xfId="2493" xr:uid="{5B717DFD-6C21-48FD-A7D2-1C7486A5FE19}"/>
    <cellStyle name="好_0806成本法评估申报表-中卫_双鸭山收益法 2" xfId="2494" xr:uid="{FCE4C7F6-BBB1-4362-B34F-84A78955D919}"/>
    <cellStyle name="好_0806成本法评估申报表-中卫_双鸭山收益法_Sheet1" xfId="2495" xr:uid="{00D9BAC8-03C7-48FB-92AF-349716A76AD3}"/>
    <cellStyle name="好_0806成本法评估申报表-中卫_资本支出预测表" xfId="2496" xr:uid="{AAB9F975-7EFC-4553-AC8A-C1360A0064D5}"/>
    <cellStyle name="好_0806成本法评估申报表-中卫_资本支出预测表 2" xfId="2497" xr:uid="{3DE0825F-2108-4A0B-AD85-E7B6D4BFC0A3}"/>
    <cellStyle name="好_0806成本法评估申报表-中卫_资本支出预测表_Sheet1" xfId="2498" xr:uid="{3FECD9B0-3A13-4A6A-8E8F-29BDFED4222A}"/>
    <cellStyle name="好_1.CGC采购与付款循环" xfId="2499" xr:uid="{0DBF00FD-4183-48C3-8EB9-3226C624FB87}"/>
    <cellStyle name="好_1.CGC采购与付款循环 2" xfId="2500" xr:uid="{16D9E08C-D000-4AA5-831B-DCA1C1099D19}"/>
    <cellStyle name="好_1.CGC采购与付款循环_Sheet1" xfId="2501" xr:uid="{E171BB7B-C8CC-451F-B092-2F30E7E512A2}"/>
    <cellStyle name="好_19-无形资产（空白模板）" xfId="2502" xr:uid="{D9DB1EDB-C672-4A22-A1BA-FB4A8F6BFE0D}"/>
    <cellStyle name="好_1财务费用" xfId="2503" xr:uid="{371CFF49-7FC9-4CF2-834A-B88AA9195C75}"/>
    <cellStyle name="好_1短期借款" xfId="2504" xr:uid="{DA71F681-E990-415A-A1C6-3A63714EC8FF}"/>
    <cellStyle name="好_1其他应付款" xfId="2505" xr:uid="{AAFC1FE0-2EA6-4978-9130-B6C83B330ECF}"/>
    <cellStyle name="好_1其他应收款" xfId="2506" xr:uid="{3C1CD8CA-784E-458B-B013-7E98FCCE3CB3}"/>
    <cellStyle name="好_1应付账款" xfId="2508" xr:uid="{CE5C63E3-CD8A-4024-97C8-83A6F8A6FBE7}"/>
    <cellStyle name="好_1应收账款" xfId="2509" xr:uid="{28B29015-1565-46AB-A00A-B22F40C182D5}"/>
    <cellStyle name="好_1营业收入" xfId="2507" xr:uid="{50350F91-52E7-42BD-A2D0-28D61A3EE375}"/>
    <cellStyle name="好_1预付款项" xfId="2510" xr:uid="{BF4FD5F8-730B-4C84-9493-C3A89D23FC6C}"/>
    <cellStyle name="好_1预收款项" xfId="2511" xr:uid="{8104634F-0BDD-40BD-9225-B1FC6F297CFA}"/>
    <cellStyle name="好_1专项应付款" xfId="2512" xr:uid="{2ACDF717-F33B-4868-ADCA-B886770DAD32}"/>
    <cellStyle name="好_1资产减值损失" xfId="2513" xr:uid="{EFAE47B2-B6DC-429F-BFD8-C0F08405200D}"/>
    <cellStyle name="好_2.GXC工薪与人事循环" xfId="2514" xr:uid="{D371839D-38B0-4F06-941A-940153C8722B}"/>
    <cellStyle name="好_2.GXC工薪与人事循环 2" xfId="2515" xr:uid="{AEFF9CAE-1252-47D6-9414-E3D804C67037}"/>
    <cellStyle name="好_2.GXC工薪与人事循环_Sheet1" xfId="2516" xr:uid="{132BD7AB-057C-4E77-8C92-7A60DAA4666A}"/>
    <cellStyle name="好_2010年固定资产" xfId="2517" xr:uid="{9A5177A5-6C4E-43F9-92A0-650C0636D89D}"/>
    <cellStyle name="好_2011年利润测算" xfId="2518" xr:uid="{E63B229C-6F24-4480-AB56-2B847B613E06}"/>
    <cellStyle name="好_2012年利润测算" xfId="2519" xr:uid="{E57FEECF-5308-4257-8E4D-DC1B0A594058}"/>
    <cellStyle name="好_27-短期借款(空白模板)" xfId="2520" xr:uid="{11116F1A-8D0B-4A21-AD09-3B4349A73650}"/>
    <cellStyle name="好_2-交易性金融资产（空白模板）" xfId="2521" xr:uid="{8CE2BF02-5A10-4B12-BDD3-DDA67DD03BFF}"/>
    <cellStyle name="好_2-交易性金融资产（空白模板） 2" xfId="2522" xr:uid="{A54A8BB2-F632-4F53-BF1F-EA4454A668F2}"/>
    <cellStyle name="好_30-应付账款（空白模板）" xfId="2523" xr:uid="{31908382-3E41-4BBD-8F07-E609EC7A1582}"/>
    <cellStyle name="好_31-预收账款（空白模板）" xfId="2524" xr:uid="{C2740F16-01A5-4A85-ACC6-F74E0CD5C7B6}"/>
    <cellStyle name="好_3-收益法评估表" xfId="2525" xr:uid="{2AC90FD6-7FF7-412C-9367-775851B57506}"/>
    <cellStyle name="好_4.XSC销售与收款循环" xfId="2526" xr:uid="{E485896F-EA4D-4EFD-AA70-57D2AE18482E}"/>
    <cellStyle name="好_4.XSC销售与收款循环 2" xfId="2527" xr:uid="{FE94C065-AD8A-4D2C-8D89-91B7A1AEF22A}"/>
    <cellStyle name="好_4.XSC销售与收款循环_Sheet1" xfId="2528" xr:uid="{E26CD618-5473-4A98-A9D0-2057DB366B35}"/>
    <cellStyle name="好_40-专项应付款(空白模板)" xfId="2529" xr:uid="{097D997F-8132-4FED-B237-B158B7A42D04}"/>
    <cellStyle name="好_49-营业收入（空白模板）" xfId="2530" xr:uid="{D305D1A6-C203-420B-94AA-596C054219ED}"/>
    <cellStyle name="好_4-应收账款（空白模板）" xfId="2531" xr:uid="{84EC7BCC-735D-4B0D-BC04-5FF715C3D262}"/>
    <cellStyle name="好_5.CZC筹资与投资循环" xfId="2532" xr:uid="{350660B7-A80D-4757-B21C-73182C94A6F8}"/>
    <cellStyle name="好_5.CZC筹资与投资循环 2" xfId="2533" xr:uid="{8BC94571-654C-4EC0-B282-9F5C8335D65B}"/>
    <cellStyle name="好_5.CZC筹资与投资循环_Sheet1" xfId="2534" xr:uid="{05409459-5DA9-423F-812B-3B0DBA3B67CF}"/>
    <cellStyle name="好_50-营业成本（空白模板）" xfId="2535" xr:uid="{D24081A7-B9E0-4A9E-81B9-F833F06F2DFC}"/>
    <cellStyle name="好_51-营业税金及附加（空白模板）" xfId="2536" xr:uid="{5E830A91-E96B-4321-A902-532ACB59EA97}"/>
    <cellStyle name="好_54-财务费用（空白模板）" xfId="2537" xr:uid="{32D9492E-57A0-466D-8D4B-0283E5DDC0DF}"/>
    <cellStyle name="好_55-资产减值损失（空白模板）" xfId="2538" xr:uid="{22D54864-794C-457F-A9B1-605A666BB08A}"/>
    <cellStyle name="好_5-预付款项（空白模板）" xfId="2539" xr:uid="{9115DCE2-B061-403E-B820-6210C194A1D3}"/>
    <cellStyle name="好_6.GZC固定资产循环" xfId="2540" xr:uid="{AEBB78F9-CE06-446B-9FEF-0622D99B060D}"/>
    <cellStyle name="好_6.GZC固定资产循环 2" xfId="2541" xr:uid="{4CB42CFC-0131-4238-BB3B-8CC2064A2F1C}"/>
    <cellStyle name="好_6.GZC固定资产循环_Sheet1" xfId="2542" xr:uid="{B130F9D0-0A86-4C77-B8B3-B8B470B7827D}"/>
    <cellStyle name="好_8-其他应收款（空白模板）" xfId="2543" xr:uid="{F093A2B2-54C6-4FBD-BD60-F3B8122425AC}"/>
    <cellStyle name="好_Book1" xfId="2544" xr:uid="{1732181A-07F8-499F-897A-030C01FF2A6E}"/>
    <cellStyle name="好_Book1 2" xfId="2545" xr:uid="{2D745E8B-92A3-47E5-A6DC-5D8A792BA89E}"/>
    <cellStyle name="好_Book1_Sheet1" xfId="2546" xr:uid="{09EA1593-8FFC-4A61-B234-47A0FAF88181}"/>
    <cellStyle name="好_FB交易性金融负债" xfId="2547" xr:uid="{D7BBEB95-F2FC-4A9E-9A90-B3E193C6FB5A}"/>
    <cellStyle name="好_FB交易性金融负债 2" xfId="2548" xr:uid="{B6281D75-92B1-4BA2-89E0-A8E7392CA535}"/>
    <cellStyle name="好_FB交易性金融负债_Sheet1" xfId="2549" xr:uid="{6B30F9B1-FE7F-4507-A345-E9FC72DDAFA5}"/>
    <cellStyle name="好_FH应付利息" xfId="2550" xr:uid="{25FF5C8C-FA7E-4F05-82CC-9E877B6EABE3}"/>
    <cellStyle name="好_FH应付利息 2" xfId="2551" xr:uid="{BDB1D4EB-13EE-4E1D-AE7E-5383CC85955A}"/>
    <cellStyle name="好_FH应付利息_Sheet1" xfId="2552" xr:uid="{32A868D6-1C29-4C1E-B219-7E5F4413FB96}"/>
    <cellStyle name="好_FI应付股利" xfId="2553" xr:uid="{E03D9783-3734-43B2-A98B-D8392F59D9EF}"/>
    <cellStyle name="好_FI应付股利 2" xfId="2554" xr:uid="{E6481311-1EC3-46CF-801F-A85B86895CC8}"/>
    <cellStyle name="好_FI应付股利_Sheet1" xfId="2555" xr:uid="{F0721C29-FDE7-4718-83DE-0AA927679DD0}"/>
    <cellStyle name="好_FM长期应付款" xfId="2556" xr:uid="{96D26CEB-3F9A-4710-9CF5-EB0DEC98C532}"/>
    <cellStyle name="好_FM长期应付款 2" xfId="2557" xr:uid="{1C4DD54B-23DE-4D0C-8F36-E94D869A82BF}"/>
    <cellStyle name="好_FM长期应付款_Sheet1" xfId="2558" xr:uid="{5CB0B65A-5FBC-4AEA-954A-07C064192B63}"/>
    <cellStyle name="好_FN专项应付款" xfId="2559" xr:uid="{FF28CE61-5A37-48C6-8461-21827EEF57FD}"/>
    <cellStyle name="好_FN专项应付款 2" xfId="2560" xr:uid="{77637786-F5F7-4960-9E11-9B8BF4365B9E}"/>
    <cellStyle name="好_FN专项应付款_Sheet1" xfId="2561" xr:uid="{3E36AFC6-9413-490A-921D-279B97008659}"/>
    <cellStyle name="好_FO预计负债" xfId="2562" xr:uid="{BE34BEF0-E449-411C-9604-FB4DF96C0333}"/>
    <cellStyle name="好_FO预计负债 2" xfId="2563" xr:uid="{D408F1DF-84B8-460F-BCB4-F123AF6E0AC1}"/>
    <cellStyle name="好_FO预计负债_1" xfId="2564" xr:uid="{5C6A9F42-DE4A-476E-AD8A-3CB332AF64E9}"/>
    <cellStyle name="好_FO预计负债_1 2" xfId="2565" xr:uid="{CC41327E-5E89-4C35-BA74-D5C3154FD372}"/>
    <cellStyle name="好_FO预计负债_1_Sheet1" xfId="2566" xr:uid="{215A7EB9-B1B8-4599-B4E2-467A108B3AA1}"/>
    <cellStyle name="好_FO预计负债_Sheet1" xfId="2567" xr:uid="{A1A82A94-BF1A-4186-9987-E2F711EBC389}"/>
    <cellStyle name="好_FZ特殊行业补充底稿_负债" xfId="2568" xr:uid="{55403B78-7908-4DDE-8E7A-DF9F85072385}"/>
    <cellStyle name="好_FZ特殊行业补充底稿_负债 2" xfId="2569" xr:uid="{DC7B68B6-0605-4CEB-B20A-629A5DE20DC2}"/>
    <cellStyle name="好_FZ特殊行业补充底稿_负债_Sheet1" xfId="2570" xr:uid="{47D4AB37-3192-46FE-B7E7-727FEE9D9B30}"/>
    <cellStyle name="好_G-应收账款" xfId="2571" xr:uid="{292EAEBB-E539-4DF5-92AA-178BCF92409F}"/>
    <cellStyle name="好_QA实收资本(股本)" xfId="2572" xr:uid="{4746CE18-EED2-469B-9828-6C98352EBA8F}"/>
    <cellStyle name="好_QA实收资本(股本) 2" xfId="2573" xr:uid="{125382F2-F770-4E57-A209-3C3232BBCDF2}"/>
    <cellStyle name="好_QA实收资本(股本)_Sheet1" xfId="2574" xr:uid="{E2EB2101-50AA-42A0-A2F0-25BB35CB7C4F}"/>
    <cellStyle name="好_QB资本公积" xfId="2575" xr:uid="{ED7217CD-60EF-44BA-949D-1C3A0FA1D113}"/>
    <cellStyle name="好_QB资本公积 2" xfId="2576" xr:uid="{2CB62AA0-0971-405C-AEC5-E8FDEFE7A29D}"/>
    <cellStyle name="好_QB资本公积_Sheet1" xfId="2577" xr:uid="{04A20F68-E93D-4F89-A79F-C56C1572294B}"/>
    <cellStyle name="好_QZ特殊行业补充底稿_权益" xfId="2578" xr:uid="{F308CEB2-FEBF-4C04-9DDF-0C443BC1937B}"/>
    <cellStyle name="好_QZ特殊行业补充底稿_权益 2" xfId="2579" xr:uid="{91FE8050-AF3F-41C2-9F05-ECC4AB24088C}"/>
    <cellStyle name="好_QZ特殊行业补充底稿_权益_Sheet1" xfId="2580" xr:uid="{10FCA7E5-23D1-45AC-9A6F-A38A6FA713A1}"/>
    <cellStyle name="好_RESULTS" xfId="2581" xr:uid="{D8AE709D-9B67-4746-9DC0-8962CCE86EBA}"/>
    <cellStyle name="好_SA营业收入" xfId="2582" xr:uid="{36B34309-1FE2-44F3-AE69-CA597ACF65A7}"/>
    <cellStyle name="好_SA营业收入 2" xfId="2583" xr:uid="{93623961-39CA-4935-9176-BD85671B09E7}"/>
    <cellStyle name="好_SA营业收入_Sheet1" xfId="2584" xr:uid="{703C3FAC-5D90-4390-ADC5-E093D7F2D4CA}"/>
    <cellStyle name="好_SB营业成本" xfId="2585" xr:uid="{547C822F-1CEA-4DE4-9941-0F74F4D265FE}"/>
    <cellStyle name="好_SB营业成本 2" xfId="2586" xr:uid="{97D05597-D030-460B-B034-435C0B603B04}"/>
    <cellStyle name="好_SB营业成本_Sheet1" xfId="2587" xr:uid="{AB4EADD8-E52B-4BB4-8BDF-4CB7B85C2F52}"/>
    <cellStyle name="好_SC营业税金及附加" xfId="2588" xr:uid="{6F51A0BE-8EF0-4E4A-921C-194C4A0F7CC7}"/>
    <cellStyle name="好_SC营业税金及附加 2" xfId="2589" xr:uid="{65B66F98-E930-4E79-9A3F-62FDA72D0D4D}"/>
    <cellStyle name="好_SC营业税金及附加_Sheet1" xfId="2590" xr:uid="{2AA5101F-8417-462A-A4BE-D2EE2CC66EA4}"/>
    <cellStyle name="好_SD销售费用" xfId="2591" xr:uid="{B035042E-A1EB-4AF1-96ED-B775AAF0DD82}"/>
    <cellStyle name="好_SD销售费用 2" xfId="2592" xr:uid="{2D4FCF25-CCC4-476C-9C70-20A3E61A908A}"/>
    <cellStyle name="好_SD销售费用_Sheet1" xfId="2593" xr:uid="{E64A8B7F-7FB3-4666-9FC9-37844D19D0BC}"/>
    <cellStyle name="好_SE管理费用" xfId="2594" xr:uid="{DE2E5A63-3AEF-4B19-84CB-10B06EC9FE3A}"/>
    <cellStyle name="好_SE管理费用 2" xfId="2595" xr:uid="{3B34AAAC-B50C-4877-8CB1-EC28CE10FD31}"/>
    <cellStyle name="好_SE管理费用_Sheet1" xfId="2596" xr:uid="{14DA8716-F6EA-4DE6-BF18-A43940439C7B}"/>
    <cellStyle name="好_SF财务费用" xfId="2597" xr:uid="{BE50AD7B-0259-4002-B2F5-BC2F92530895}"/>
    <cellStyle name="好_SF财务费用 2" xfId="2598" xr:uid="{8559E39F-BC50-4B22-8E10-CB5E920D2CB1}"/>
    <cellStyle name="好_SF财务费用_Sheet1" xfId="2599" xr:uid="{88CB230D-580B-4178-A9DD-075C115A2042}"/>
    <cellStyle name="好_SG资产减值损失" xfId="2600" xr:uid="{874C1886-A3E5-4398-9065-EFB061675BB7}"/>
    <cellStyle name="好_SG资产减值损失 2" xfId="2601" xr:uid="{354AA513-F3D5-44E0-B618-4B11F9E65824}"/>
    <cellStyle name="好_SG资产减值损失_Sheet1" xfId="2602" xr:uid="{3A7E7009-46E8-4FE0-ACCD-03DB6EFC981B}"/>
    <cellStyle name="好_Sheet1" xfId="2603" xr:uid="{FE16CD6F-7A93-442C-BEAD-7FBDC8B35CE6}"/>
    <cellStyle name="好_Sheet1_1" xfId="2604" xr:uid="{BB32381E-975D-4C58-A39E-FBA61E4143C6}"/>
    <cellStyle name="好_SH公允价值变动损益" xfId="2605" xr:uid="{00503700-951A-4B4B-AE3C-B344D0D74943}"/>
    <cellStyle name="好_SH公允价值变动损益 2" xfId="2606" xr:uid="{8F401CAB-7C7B-4EFD-B939-2819624F091E}"/>
    <cellStyle name="好_SH公允价值变动损益_Sheet1" xfId="2607" xr:uid="{87B3BAAE-5B05-42F7-A0D2-76ECB797974A}"/>
    <cellStyle name="好_SI投资收益" xfId="2608" xr:uid="{A5C80C7F-ED56-4B11-8540-6C408C034868}"/>
    <cellStyle name="好_SI投资收益 2" xfId="2609" xr:uid="{5944D780-4550-4D40-BFF0-8DBD45E51D2A}"/>
    <cellStyle name="好_SI投资收益_Sheet1" xfId="2610" xr:uid="{E177512E-6F09-4C02-B22B-4EDA7E7DD5D9}"/>
    <cellStyle name="好_SJ营业外收入" xfId="2611" xr:uid="{36790D23-FD5C-425B-9BBC-B29BC91DF283}"/>
    <cellStyle name="好_SJ营业外收入 2" xfId="2612" xr:uid="{8ACCB4E4-E3CE-46A8-99E6-33EFEE614240}"/>
    <cellStyle name="好_SJ营业外收入_Sheet1" xfId="2613" xr:uid="{1786A012-6280-4139-930E-FD0CFA72B022}"/>
    <cellStyle name="好_SK营业外支出" xfId="2614" xr:uid="{EB0B4771-171A-47FB-9CDC-50275621863C}"/>
    <cellStyle name="好_SK营业外支出 2" xfId="2615" xr:uid="{A683DE0A-F86D-428C-A531-CE5B942AA808}"/>
    <cellStyle name="好_SK营业外支出_Sheet1" xfId="2616" xr:uid="{85896004-789A-4E01-98CE-3E790879132D}"/>
    <cellStyle name="好_SL所得税费用" xfId="2617" xr:uid="{7CDEB75D-8326-4C3A-93EA-7A7E5CD65026}"/>
    <cellStyle name="好_SL所得税费用 2" xfId="2618" xr:uid="{D572F2EB-FCBA-4388-A9A7-7000A9F9FCB3}"/>
    <cellStyle name="好_SL所得税费用_Sheet1" xfId="2619" xr:uid="{9AC42281-E26B-4D74-8D8A-78F5C6916165}"/>
    <cellStyle name="好_SZ特殊行业补充底稿_损益" xfId="2620" xr:uid="{0DE5DEE2-FDCF-4252-9E4C-1BC3287E8EFF}"/>
    <cellStyle name="好_SZ特殊行业补充底稿_损益 2" xfId="2621" xr:uid="{6F32D18F-8E06-4DA9-8200-121BA1E6EB5A}"/>
    <cellStyle name="好_SZ特殊行业补充底稿_损益_Sheet1" xfId="2622" xr:uid="{5C170086-D8A6-4F17-8696-F4762682C1FC}"/>
    <cellStyle name="好_ZA0货币资金审定表 " xfId="2623" xr:uid="{1C961158-811E-402A-A334-C5E46678997E}"/>
    <cellStyle name="好_ZA0货币资金审定表  2" xfId="2624" xr:uid="{04F1EBD5-8BFE-40C6-9BA6-4349F2B511A5}"/>
    <cellStyle name="好_ZJ可供出售金融资产" xfId="2625" xr:uid="{AE5B356C-6DE1-417A-AFCC-FEF74EBA4FAA}"/>
    <cellStyle name="好_ZJ可供出售金融资产 2" xfId="2626" xr:uid="{C09FBBE4-B927-4FA1-B6BA-78558B5AA5A1}"/>
    <cellStyle name="好_ZJ可供出售金融资产_Sheet1" xfId="2627" xr:uid="{48836927-58BA-4721-93C4-8644BC0C1D1C}"/>
    <cellStyle name="好_ZK持有至到期投资" xfId="2628" xr:uid="{EC615C16-FF3B-406A-B9BF-E31807E4AF49}"/>
    <cellStyle name="好_ZK持有至到期投资 2" xfId="2629" xr:uid="{4EFC0895-F632-4A3F-B55F-C9A55F52B7D4}"/>
    <cellStyle name="好_ZK持有至到期投资_Sheet1" xfId="2630" xr:uid="{80D97010-39C6-4ED3-9496-362407BFD78A}"/>
    <cellStyle name="好_ZL长期应收款" xfId="2631" xr:uid="{1420CDE6-5B11-450D-96C1-BA875F724D29}"/>
    <cellStyle name="好_ZL长期应收款 2" xfId="2632" xr:uid="{594A780A-944D-4A8C-923C-7AA872A98B91}"/>
    <cellStyle name="好_ZL长期应收款_Sheet1" xfId="2633" xr:uid="{1106DD08-F8F2-4830-BD16-9D05161D36A6}"/>
    <cellStyle name="好_ZM长期股权投资" xfId="2634" xr:uid="{4BBB08E6-2278-40AC-857F-042A8D37D768}"/>
    <cellStyle name="好_ZM长期股权投资 2" xfId="2635" xr:uid="{CB50C9D6-AEFA-4627-9EEF-4AE6C2B45D4E}"/>
    <cellStyle name="好_ZM长期股权投资_Sheet1" xfId="2636" xr:uid="{4028C917-8432-4D25-9DB9-5E0B402D1531}"/>
    <cellStyle name="好_ZN投资性房地产" xfId="2637" xr:uid="{BCAD5C8A-A123-4AE8-A0ED-B73712E4EA25}"/>
    <cellStyle name="好_ZN投资性房地产 2" xfId="2638" xr:uid="{36CE69F4-3505-434A-9241-B8E72D9030BA}"/>
    <cellStyle name="好_ZN投资性房地产_Sheet1" xfId="2639" xr:uid="{0630B393-BAB4-4EFB-B1B5-517EEE1E7801}"/>
    <cellStyle name="好_ZO固定资产" xfId="2640" xr:uid="{C28A6896-1CBA-4E63-B122-8103970948EC}"/>
    <cellStyle name="好_ZO固定资产 2" xfId="2641" xr:uid="{3D9CA1E2-F8B7-4358-A835-D0BAF19D3CA1}"/>
    <cellStyle name="好_ZO固定资产_Sheet1" xfId="2642" xr:uid="{D65DBBED-979B-43B7-8127-0E1879863663}"/>
    <cellStyle name="好_ZP在建工程" xfId="2643" xr:uid="{7D551025-7F2A-4332-BB65-730920A652F1}"/>
    <cellStyle name="好_ZP在建工程 2" xfId="2644" xr:uid="{E26ABFB9-5E1B-4CDE-BAB0-F83E7EE77D4E}"/>
    <cellStyle name="好_ZP在建工程_Sheet1" xfId="2645" xr:uid="{B94C1C50-9B6F-4119-B3C9-E6AEEF30A74D}"/>
    <cellStyle name="好_ZQ工程物资" xfId="2646" xr:uid="{3B213CB5-DA7D-469B-B351-58C5410BF837}"/>
    <cellStyle name="好_ZQ工程物资 2" xfId="2647" xr:uid="{01F195D8-A946-4D0C-838A-5A1A85C0CAA5}"/>
    <cellStyle name="好_ZQ工程物资_Sheet1" xfId="2648" xr:uid="{D15E45F7-FE2D-4550-8C9B-3D8293A0C50F}"/>
    <cellStyle name="好_ZR固定资产清理" xfId="2649" xr:uid="{23E6EA09-B901-4BDD-8850-7A79D4B520A4}"/>
    <cellStyle name="好_ZR固定资产清理 2" xfId="2650" xr:uid="{13B66772-C0AE-45C0-A55F-7D8951F8F730}"/>
    <cellStyle name="好_ZR固定资产清理_Sheet1" xfId="2651" xr:uid="{BB87AB1F-31CE-4E99-82D1-176B9440853D}"/>
    <cellStyle name="好_ZS生产性生物资产" xfId="2652" xr:uid="{D43D288F-A219-4477-A220-19A4C2278192}"/>
    <cellStyle name="好_ZS生产性生物资产 2" xfId="2653" xr:uid="{649A81E2-CA6A-420C-9FB4-027811181AFE}"/>
    <cellStyle name="好_ZS生产性生物资产_Sheet1" xfId="2654" xr:uid="{FE48F8DF-0861-4D78-AD4A-553896C4C4A1}"/>
    <cellStyle name="好_ZT油气资产" xfId="2655" xr:uid="{7279619A-2146-43EE-AD71-9C7CFF46F421}"/>
    <cellStyle name="好_ZT油气资产 2" xfId="2656" xr:uid="{322F4B9C-FCA2-45F8-9E00-6288D3B33D0B}"/>
    <cellStyle name="好_ZT油气资产_Sheet1" xfId="2657" xr:uid="{D4EBF9DD-D151-4620-891B-55E43A2A8DA0}"/>
    <cellStyle name="好_ZU无形资产" xfId="2658" xr:uid="{8085E7FA-59EB-4FD3-AA05-37B2F4C5A24A}"/>
    <cellStyle name="好_ZU无形资产 2" xfId="2659" xr:uid="{0A714DC9-B935-4F83-A32A-43A14C301F5E}"/>
    <cellStyle name="好_ZU无形资产_Sheet1" xfId="2660" xr:uid="{EB11F1FA-01DD-4C52-89C7-9299DE2A63D1}"/>
    <cellStyle name="好_ZV开发支出" xfId="2661" xr:uid="{7760EBAA-DA63-489F-9DFA-EA7A0B7A3EE8}"/>
    <cellStyle name="好_ZV开发支出 2" xfId="2662" xr:uid="{27A067EB-CD93-43B1-9688-3ABC7AA61CBC}"/>
    <cellStyle name="好_ZV开发支出_Sheet1" xfId="2663" xr:uid="{A0E844F8-FF34-496D-B39E-0C45FF31C17D}"/>
    <cellStyle name="好_ZW商誉" xfId="2664" xr:uid="{4C555C7A-C875-47CF-9F09-3EBA203093A6}"/>
    <cellStyle name="好_ZW商誉 2" xfId="2665" xr:uid="{52ADDC9F-579D-4B18-99EC-256DAA56349D}"/>
    <cellStyle name="好_ZW商誉_Sheet1" xfId="2666" xr:uid="{0B2D2E64-96DB-4B24-8FFF-F6FAEDAF6BA4}"/>
    <cellStyle name="好_ZX长期待摊费用" xfId="2667" xr:uid="{6A724B81-235D-4191-A406-5437B57BE51C}"/>
    <cellStyle name="好_ZX长期待摊费用 2" xfId="2668" xr:uid="{3611A44E-E110-494C-BC76-B1B53207B7F5}"/>
    <cellStyle name="好_ZX长期待摊费用_Sheet1" xfId="2669" xr:uid="{6B68337B-3C20-4E72-B924-B5745354DDA1}"/>
    <cellStyle name="好_ZY递延所得税资产" xfId="2670" xr:uid="{9FF22C81-7116-4419-A994-816EAAD90308}"/>
    <cellStyle name="好_ZY递延所得税资产 2" xfId="2671" xr:uid="{46BC4C70-16EC-4384-8426-7B29DB16A06A}"/>
    <cellStyle name="好_ZY递延所得税资产_Sheet1" xfId="2672" xr:uid="{DF1FA9A7-942F-4C7D-BDD6-A859EEB126DC}"/>
    <cellStyle name="好_ZZ特殊行业补充底稿_资产" xfId="2673" xr:uid="{7C0221C4-A8AE-46A4-8DA1-297AFE07386B}"/>
    <cellStyle name="好_ZZ特殊行业补充底稿_资产 2" xfId="2674" xr:uid="{11D00304-EAD8-4B27-87F5-3ABFB22238C7}"/>
    <cellStyle name="好_ZZ特殊行业补充底稿_资产_Sheet1" xfId="2675" xr:uid="{D1102DB3-0900-4339-A1D0-408ED5ECA2CF}"/>
    <cellStyle name="好_鞍钢钢绳-收益法6.28" xfId="2676" xr:uid="{6CBB275E-C720-4868-A7B3-75247A543910}"/>
    <cellStyle name="好_鞍钢钢绳-收益法6.28 2" xfId="2677" xr:uid="{EBC4AA02-7821-4F64-9AAB-F376C272C4E3}"/>
    <cellStyle name="好_鞍钢钢绳-收益法6.28_Sheet1" xfId="2678" xr:uid="{E4BE18A6-0653-47B6-A90A-D28D2ABAB238}"/>
    <cellStyle name="好_鞍钢钢绳-收益法6.28_管理费用预测表" xfId="2679" xr:uid="{3AF64C46-5957-4B10-AA15-7ED3EE9FDA18}"/>
    <cellStyle name="好_鞍钢钢绳-收益法6.28_管理费用预测表 2" xfId="2680" xr:uid="{488806CC-12DC-49CD-8E3D-492A3804BBCA}"/>
    <cellStyle name="好_鞍钢钢绳-收益法6.28_管理费用预测表_Sheet1" xfId="2681" xr:uid="{84C485D3-C2AB-4E6D-B153-8E0B8CF6202E}"/>
    <cellStyle name="好_鞍钢钢绳-收益法6.28_收益法明细表20100506-李雪飞" xfId="2682" xr:uid="{DDD35493-0FEB-4C9F-8B45-A282F0FCCB92}"/>
    <cellStyle name="好_鞍钢钢绳-收益法6.28_收益法明细表20100506-李雪飞 2" xfId="2683" xr:uid="{EE8C0A94-BBCA-4CA7-A711-595A89ECC116}"/>
    <cellStyle name="好_鞍钢钢绳-收益法6.28_收益法明细表20100506-李雪飞_Sheet1" xfId="2684" xr:uid="{1826FD30-80CB-4923-86D1-6ABFFF91B6C3}"/>
    <cellStyle name="好_鞍钢钢绳-收益法6.28_收益法评估申报表(武汉燃料)2010-4-25" xfId="2685" xr:uid="{81AD710A-174C-441A-99A5-9B785279B88D}"/>
    <cellStyle name="好_鞍钢钢绳-收益法6.28_收益法评估申报表(武汉燃料)2010-4-26" xfId="2686" xr:uid="{F5B7E3FD-9136-42DF-B22E-FEE1935015F5}"/>
    <cellStyle name="好_鞍钢钢绳-收益法6.28_资本支出预测表" xfId="2687" xr:uid="{67C0B3F1-2C67-4543-8F54-73D8B1426D31}"/>
    <cellStyle name="好_鞍钢钢绳-收益法6.28_资本支出预测表 2" xfId="2688" xr:uid="{F5D0E49C-B9FD-4A16-BBD7-697100D881F0}"/>
    <cellStyle name="好_鞍钢钢绳-收益法6.28_资本支出预测表_Sheet1" xfId="2689" xr:uid="{0C8918A7-C948-4D66-BA25-55FEB83ED66F}"/>
    <cellStyle name="好_报表层次重要性水平" xfId="2690" xr:uid="{738FB6A4-A765-4E29-8375-AE47005FCD36}"/>
    <cellStyle name="好_报送审查版03版_行业收益法申报表(中英文)" xfId="2691" xr:uid="{E6F8E31E-623D-41DC-8555-235E1B59D96E}"/>
    <cellStyle name="好_不可流通折扣率估算表" xfId="2692" xr:uid="{83AEE366-ED94-4DBE-8555-81261766CF91}"/>
    <cellStyle name="好_不可流通折扣率估算表 2" xfId="2693" xr:uid="{D9373B69-77F8-48B3-8D2E-D7BFC3C195F4}"/>
    <cellStyle name="好_不可流通折扣率估算表_Sheet1" xfId="2694" xr:uid="{4D0B3960-8C35-4316-B15C-4FC71D6AB3F8}"/>
    <cellStyle name="好_不可流通折扣率估算表_管理费用预测表" xfId="2695" xr:uid="{6CB578B3-7175-4806-AD31-3DCDFFC103BC}"/>
    <cellStyle name="好_不可流通折扣率估算表_管理费用预测表 2" xfId="2696" xr:uid="{CD2B6D1E-19D2-4BDD-84AA-5426EE0032D6}"/>
    <cellStyle name="好_不可流通折扣率估算表_管理费用预测表_Sheet1" xfId="2697" xr:uid="{1214D060-AB81-4214-9870-60AAD0FA811C}"/>
    <cellStyle name="好_不可流通折扣率估算表_收益法明细表20100506-李雪飞" xfId="2698" xr:uid="{6EFE43EE-E2F5-4BAD-A1B2-5B0B0AB0FA17}"/>
    <cellStyle name="好_不可流通折扣率估算表_收益法明细表20100506-李雪飞 2" xfId="2699" xr:uid="{D2FFDA87-3973-4974-9124-B427CE215909}"/>
    <cellStyle name="好_不可流通折扣率估算表_收益法明细表20100506-李雪飞_Sheet1" xfId="2700" xr:uid="{AB3B785B-033F-4BC5-BA19-2474F56DBEBE}"/>
    <cellStyle name="好_不可流通折扣率估算表_收益法评估申报表(武汉燃料)2010-4-25" xfId="2701" xr:uid="{D79B11D7-4709-49B1-9A77-6C48AC5A483F}"/>
    <cellStyle name="好_不可流通折扣率估算表_收益法评估申报表(武汉燃料)2010-4-26" xfId="2702" xr:uid="{DE931BE8-D0CA-4506-AAB7-1466D65A4F48}"/>
    <cellStyle name="好_不可流通折扣率估算表_资本支出预测表" xfId="2703" xr:uid="{1DF940B9-5784-4C9F-B92D-0FBE065328B9}"/>
    <cellStyle name="好_不可流通折扣率估算表_资本支出预测表 2" xfId="2704" xr:uid="{B3935F88-8EE6-4FB6-B5CD-CCD976816694}"/>
    <cellStyle name="好_不可流通折扣率估算表_资本支出预测表_Sheet1" xfId="2705" xr:uid="{C8DCF507-EDCD-409A-8BCB-76EF970F0196}"/>
    <cellStyle name="好_财务费用" xfId="2706" xr:uid="{325CD5B0-76E4-4134-B9F2-948767940E4A}"/>
    <cellStyle name="好_常州变压器试算平衡表8-22" xfId="2707" xr:uid="{7351C0DA-1A18-4C2D-9EF5-5B74D2E149B1}"/>
    <cellStyle name="好_常州东芝收益法模型表-Toshiba折现率" xfId="2708" xr:uid="{3D6165D9-0386-4938-9674-DA2E97ADDA7A}"/>
    <cellStyle name="好_大信底稿目录" xfId="2709" xr:uid="{17B1E7DC-3ED8-4419-B5B4-0C47E7BA7E1A}"/>
    <cellStyle name="好_底稿设置宏" xfId="2710" xr:uid="{C628DEDC-72EF-45D1-A296-D42B9D667EE7}"/>
    <cellStyle name="好_底稿设置宏 2" xfId="2711" xr:uid="{FC85872D-BE44-41F1-907D-A62DF6C8ADC4}"/>
    <cellStyle name="好_底稿设置宏_大信底稿目录" xfId="2712" xr:uid="{E8F72830-BB88-4BE7-95F0-FA3DC2AA7087}"/>
    <cellStyle name="好_短期借款" xfId="2713" xr:uid="{F4587BD8-14C0-482C-943E-30D06330C652}"/>
    <cellStyle name="好_服务行业收益法模型表(中英文)" xfId="2714" xr:uid="{297E404B-33EF-46B0-963C-B941AA0E27B3}"/>
    <cellStyle name="好_服务行业收益法模型表(中英文)_3-收益法评估表" xfId="2715" xr:uid="{89D87EC2-4AA3-4E95-AB3E-467B341FDE8E}"/>
    <cellStyle name="好_服务行业收益法模型表(中英文)w" xfId="2716" xr:uid="{CEF77CAE-35ED-4C0B-AFC9-79FABEE52905}"/>
    <cellStyle name="好_服务行业收益法模型表(中英文)w_3-收益法评估表" xfId="2717" xr:uid="{21A2B8F8-3E75-4C1F-B192-62D16B827CC0}"/>
    <cellStyle name="好_负息负债明细表" xfId="2718" xr:uid="{F6C6BC39-C4AC-4750-8B52-F9F7555F1619}"/>
    <cellStyle name="好_副本新华收益法申报表-制造业-复杂" xfId="2719" xr:uid="{31171F74-186B-4752-A2F5-3C481C6606B7}"/>
    <cellStyle name="好_股份房屋申报表案例计算" xfId="2720" xr:uid="{AA2EB4BF-7E54-49A8-B3F7-ADA48F61DB8E}"/>
    <cellStyle name="好_股份房屋申报表案例计算 2" xfId="2721" xr:uid="{E50B6F3E-8A74-49CC-9FD9-3A60B7E22645}"/>
    <cellStyle name="好_股份房屋申报表案例计算_Sheet1" xfId="2722" xr:uid="{FCD2CAD7-6D04-4959-9CB4-2A590E18031B}"/>
    <cellStyle name="好_股份公司-1210" xfId="2723" xr:uid="{2DD11DF8-F195-4D83-8D50-111DEB96C7CA}"/>
    <cellStyle name="好_股份公司-1210 2" xfId="2724" xr:uid="{A80F0B20-C9E4-4A05-B9BE-97543434F0DD}"/>
    <cellStyle name="好_股份公司-1210_Sheet1" xfId="2725" xr:uid="{45A63098-9EEF-4396-A522-D75EF8681434}"/>
    <cellStyle name="好_管理费" xfId="2726" xr:uid="{BE9A9A69-8261-4607-BA1D-5C18D996DFEE}"/>
    <cellStyle name="好_管理费G&amp;A" xfId="2727" xr:uid="{7F648464-9B1E-46B2-9344-1696495B086E}"/>
    <cellStyle name="好_管理费用预测表" xfId="2728" xr:uid="{EF5B9435-1178-48F6-B31C-D5B922FEDB6D}"/>
    <cellStyle name="好_管理费用预测表 2" xfId="2729" xr:uid="{0C8B0504-C3EE-41B8-8B57-05DE49663AED}"/>
    <cellStyle name="好_管理费用预测表_Sheet1" xfId="2730" xr:uid="{B4C0E465-AF0E-4309-BF8F-FD667DC19DEE}"/>
    <cellStyle name="好_国有资产评估操作表" xfId="2731" xr:uid="{0DEB2A46-C943-429E-9CD0-61B1DF56CD91}"/>
    <cellStyle name="好_国有资产评估操作表 2" xfId="2732" xr:uid="{81D17BAE-AE51-4B38-81D0-6B0E876EDCA9}"/>
    <cellStyle name="好_国有资产评估操作表_Sheet1" xfId="2733" xr:uid="{821168FC-4A2F-40FB-903B-A30A5F25FAB7}"/>
    <cellStyle name="好_河南华利财务预测-20110622-（华利版本）" xfId="2734" xr:uid="{2F237B44-E9CB-4F54-91E7-029E907E1863}"/>
    <cellStyle name="好_环保费" xfId="2735" xr:uid="{B8EBF801-A566-447A-9EC5-C45C97937FBC}"/>
    <cellStyle name="好_货币资金" xfId="2736" xr:uid="{AC46574C-569E-4D7A-889D-D7EDB09589B6}"/>
    <cellStyle name="好_江苏方天成本法评估申报表（正式）" xfId="2737" xr:uid="{5F6154CA-7061-41B1-BD23-C273F26B87D2}"/>
    <cellStyle name="好_江苏方天成本法评估申报表（正式） 2" xfId="2738" xr:uid="{F7793567-A854-477B-96B3-D71D5FD0F444}"/>
    <cellStyle name="好_江苏方天成本法评估申报表（正式） 2 2" xfId="2739" xr:uid="{3D2CBDA7-3D72-4582-B477-F65EBCB75B8C}"/>
    <cellStyle name="好_江苏方天成本法评估申报表（正式） 2_Sheet1" xfId="2740" xr:uid="{C1C8F4D1-9B34-4140-8D04-02ADF878D836}"/>
    <cellStyle name="好_江苏方天成本法评估申报表（正式） 2_电力企业收益法表格双辽发电厂" xfId="2741" xr:uid="{F32AF6EF-0876-4B61-AC5B-3CF8960531DF}"/>
    <cellStyle name="好_江苏方天成本法评估申报表（正式） 2_电力企业收益法表格双辽发电厂 2" xfId="2742" xr:uid="{C380D520-4C47-485B-95D4-1A20ACE60387}"/>
    <cellStyle name="好_江苏方天成本法评估申报表（正式） 2_电力企业收益法表格双辽发电厂_Sheet1" xfId="2743" xr:uid="{77EA425E-20AA-43C0-889C-AB21B74E55F1}"/>
    <cellStyle name="好_江苏方天成本法评估申报表（正式） 2_人工费表" xfId="2744" xr:uid="{245F38DA-93CD-466B-95D1-09BA949258B4}"/>
    <cellStyle name="好_江苏方天成本法评估申报表（正式） 2_人工费表 2" xfId="2745" xr:uid="{3AAE3CD8-CE14-447B-90EE-0C3A412615F8}"/>
    <cellStyle name="好_江苏方天成本法评估申报表（正式） 2_人工费表_Sheet1" xfId="2746" xr:uid="{915F9437-B407-42F3-8B3F-DB66F99A7423}"/>
    <cellStyle name="好_江苏方天成本法评估申报表（正式） 2_人工费表_电力企业收益法表格双辽发电厂" xfId="2747" xr:uid="{DBDA5554-0141-47D7-A869-23FE4C199107}"/>
    <cellStyle name="好_江苏方天成本法评估申报表（正式） 2_人工费表_电力企业收益法表格双辽发电厂 2" xfId="2748" xr:uid="{D37B4706-DFE3-4FE2-81A0-3A0C88C5A42E}"/>
    <cellStyle name="好_江苏方天成本法评估申报表（正式） 2_人工费表_电力企业收益法表格双辽发电厂_Sheet1" xfId="2749" xr:uid="{8BA99BEE-FD0D-446E-A30F-0B7BE70A7484}"/>
    <cellStyle name="好_江苏方天成本法评估申报表（正式） 2_人工费表_双鸭山收益法" xfId="2750" xr:uid="{5E792203-220F-4FFB-8A6C-7785454819B2}"/>
    <cellStyle name="好_江苏方天成本法评估申报表（正式） 2_人工费表_双鸭山收益法 2" xfId="2751" xr:uid="{9D654E77-98F3-4F99-A4FF-A5F6AC5D9733}"/>
    <cellStyle name="好_江苏方天成本法评估申报表（正式） 2_人工费表_双鸭山收益法_Sheet1" xfId="2752" xr:uid="{52EE54B1-4DA5-4CE5-9988-F1F93C6543B2}"/>
    <cellStyle name="好_江苏方天成本法评估申报表（正式） 2_双鸭山收益法" xfId="2753" xr:uid="{0D9A9536-E502-40A5-98E2-EFC82060F18E}"/>
    <cellStyle name="好_江苏方天成本法评估申报表（正式） 2_双鸭山收益法 2" xfId="2754" xr:uid="{11D91FF2-3C21-45F6-BA3E-4BB4F5D2902E}"/>
    <cellStyle name="好_江苏方天成本法评估申报表（正式） 2_双鸭山收益法_Sheet1" xfId="2755" xr:uid="{EAB81904-4206-4339-886F-0D63435CFCC2}"/>
    <cellStyle name="好_江苏方天成本法评估申报表（正式） 3" xfId="2756" xr:uid="{D75D1F15-1242-47CE-843C-2247479B382F}"/>
    <cellStyle name="好_江苏方天成本法评估申报表（正式） 3 2" xfId="2757" xr:uid="{1937B3D5-F22F-4EAE-9E4E-A10976CB8394}"/>
    <cellStyle name="好_江苏方天成本法评估申报表（正式） 3_Sheet1" xfId="2758" xr:uid="{B2F47F22-59E8-44FF-B14E-ED02ACEA18F4}"/>
    <cellStyle name="好_江苏方天成本法评估申报表（正式） 3_电力企业收益法表格双辽发电厂" xfId="2759" xr:uid="{1278EB39-5CB2-476C-9B53-B69CF60D9D3C}"/>
    <cellStyle name="好_江苏方天成本法评估申报表（正式） 3_电力企业收益法表格双辽发电厂 2" xfId="2760" xr:uid="{8A47279E-3CDE-4BD2-AE0F-3609208B5C18}"/>
    <cellStyle name="好_江苏方天成本法评估申报表（正式） 3_电力企业收益法表格双辽发电厂_Sheet1" xfId="2761" xr:uid="{3D0C778B-97E2-42EF-BA58-BA705A519108}"/>
    <cellStyle name="好_江苏方天成本法评估申报表（正式） 3_人工费表" xfId="2762" xr:uid="{3D91BA42-CE3E-4281-9CFA-54DD7EA8626C}"/>
    <cellStyle name="好_江苏方天成本法评估申报表（正式） 3_人工费表 2" xfId="2763" xr:uid="{7CC80D7F-1C0E-411D-9CF9-2B34530FB1C0}"/>
    <cellStyle name="好_江苏方天成本法评估申报表（正式） 3_人工费表_Sheet1" xfId="2764" xr:uid="{73605E02-45D2-4542-B278-BB79C1DB42E6}"/>
    <cellStyle name="好_江苏方天成本法评估申报表（正式） 3_人工费表_电力企业收益法表格双辽发电厂" xfId="2765" xr:uid="{DD25D5C7-E5E9-4F44-88BA-9F5260028D79}"/>
    <cellStyle name="好_江苏方天成本法评估申报表（正式） 3_人工费表_电力企业收益法表格双辽发电厂 2" xfId="2766" xr:uid="{026EE43B-29A0-4B1B-A615-52AFD30688CC}"/>
    <cellStyle name="好_江苏方天成本法评估申报表（正式） 3_人工费表_电力企业收益法表格双辽发电厂_Sheet1" xfId="2767" xr:uid="{55C2D115-D02F-478E-BB9A-9837A64A55FB}"/>
    <cellStyle name="好_江苏方天成本法评估申报表（正式） 3_人工费表_双鸭山收益法" xfId="2768" xr:uid="{1A882B4E-1BE3-4642-8E57-3B9DD7B95EA4}"/>
    <cellStyle name="好_江苏方天成本法评估申报表（正式） 3_人工费表_双鸭山收益法 2" xfId="2769" xr:uid="{35E0C38C-B6D3-479F-B453-4B6B7D1F2430}"/>
    <cellStyle name="好_江苏方天成本法评估申报表（正式） 3_人工费表_双鸭山收益法_Sheet1" xfId="2770" xr:uid="{40A1184C-2883-4BA1-A57D-0C8896E471E1}"/>
    <cellStyle name="好_江苏方天成本法评估申报表（正式） 3_双鸭山收益法" xfId="2771" xr:uid="{403B7E73-9212-44B8-B013-AE22C1CC1186}"/>
    <cellStyle name="好_江苏方天成本法评估申报表（正式） 3_双鸭山收益法 2" xfId="2772" xr:uid="{296FB5DB-6177-457A-8A26-2D5FB96A78BD}"/>
    <cellStyle name="好_江苏方天成本法评估申报表（正式） 3_双鸭山收益法_Sheet1" xfId="2773" xr:uid="{D1BD9DA1-44FF-4FEB-B973-6BEFD5ADC951}"/>
    <cellStyle name="好_江苏方天成本法评估申报表（正式） 4" xfId="2774" xr:uid="{51959672-0464-44BA-81F4-22D24E81AE4C}"/>
    <cellStyle name="好_江苏方天成本法评估申报表（正式）_Sheet1" xfId="2775" xr:uid="{FC9F5B3E-753B-41B8-8954-54580C2BC4B3}"/>
    <cellStyle name="好_经营性企业收益法模型表" xfId="2776" xr:uid="{DEAB07C7-5E36-4263-A3D3-FB117BCB9AC0}"/>
    <cellStyle name="好_经营性企业收益法模型表 2" xfId="2777" xr:uid="{C1BDC18C-6D02-4A1E-B4D7-D88AA033CA37}"/>
    <cellStyle name="好_经营性企业收益法模型表_Sheet1" xfId="2778" xr:uid="{95ABE7F6-0695-4E04-A516-A54176DAFEFE}"/>
    <cellStyle name="好_净现金流预测" xfId="2779" xr:uid="{82CEBB40-DB71-4F0C-BBE5-5ED2A48DA422}"/>
    <cellStyle name="好_净现金流预测 2" xfId="2780" xr:uid="{FDDACCB2-1361-4D36-84BB-4FBCE4E8A32B}"/>
    <cellStyle name="好_净现金流预测_Sheet1" xfId="2781" xr:uid="{FA22DAC5-590D-4F4A-ACCE-0BF791696DF3}"/>
    <cellStyle name="好_净现金流预测_管理费用预测表" xfId="2782" xr:uid="{5DD9FEF2-7E81-4EBC-A071-E2054FFC1365}"/>
    <cellStyle name="好_净现金流预测_管理费用预测表 2" xfId="2783" xr:uid="{8935A843-BFCF-46D7-970A-DB81B76309FE}"/>
    <cellStyle name="好_净现金流预测_管理费用预测表_Sheet1" xfId="2784" xr:uid="{E9CFED32-5DC4-42C7-8156-974B818E98DE}"/>
    <cellStyle name="好_净现金流预测_收益法明细表20100506-李雪飞" xfId="2785" xr:uid="{044A59D4-82C0-48F8-8FE9-DA10FA6C02BF}"/>
    <cellStyle name="好_净现金流预测_收益法明细表20100506-李雪飞 2" xfId="2786" xr:uid="{E5A6AC1C-C8A2-41EB-957D-68D7449DCAAF}"/>
    <cellStyle name="好_净现金流预测_收益法明细表20100506-李雪飞_Sheet1" xfId="2787" xr:uid="{CB124EEB-01BD-4EB9-91DC-2B1262FCEC02}"/>
    <cellStyle name="好_净现金流预测_收益法评估申报表(武汉燃料)2010-4-25" xfId="2788" xr:uid="{0756487A-7886-47B8-8E4B-315F4D00F50C}"/>
    <cellStyle name="好_净现金流预测_收益法评估申报表(武汉燃料)2010-4-26" xfId="2789" xr:uid="{189F7691-9487-4BB4-B661-3E08C2EAC001}"/>
    <cellStyle name="好_净现金流预测_资本支出预测表" xfId="2790" xr:uid="{6F0DDDC3-50A1-486A-9616-5852744229F7}"/>
    <cellStyle name="好_净现金流预测_资本支出预测表 2" xfId="2791" xr:uid="{26CFEF8F-AF2E-412F-A76A-B1C4F5623FE1}"/>
    <cellStyle name="好_净现金流预测_资本支出预测表_Sheet1" xfId="2792" xr:uid="{466685CD-7C26-43F5-BFBB-672B5DF3B721}"/>
    <cellStyle name="好_力源收益法表定稿（赵总改）" xfId="2793" xr:uid="{3D6528FA-1784-4ED4-831E-F04F617B2C1B}"/>
    <cellStyle name="好_力源收益法表定稿（赵总改） 2" xfId="2794" xr:uid="{AF76C15D-433B-42E1-90F9-DB363C149497}"/>
    <cellStyle name="好_力源收益法表定稿（赵总改） 2 2" xfId="2795" xr:uid="{FA929B85-1D02-411F-94E5-A2801D4D0D16}"/>
    <cellStyle name="好_力源收益法表定稿（赵总改） 2_Sheet1" xfId="2796" xr:uid="{F362BC0E-22C4-42EE-8DF0-A2ED6E5C9D7C}"/>
    <cellStyle name="好_力源收益法表定稿（赵总改） 2_电力企业收益法表格双辽发电厂" xfId="2797" xr:uid="{E031B6A8-081A-4971-998C-BAD116019623}"/>
    <cellStyle name="好_力源收益法表定稿（赵总改） 2_电力企业收益法表格双辽发电厂 2" xfId="2798" xr:uid="{F0910D1D-4E58-4F8F-BAA6-6FA1B9F2E6DB}"/>
    <cellStyle name="好_力源收益法表定稿（赵总改） 2_电力企业收益法表格双辽发电厂_Sheet1" xfId="2799" xr:uid="{73586000-5E7A-4709-9294-8093F2053E98}"/>
    <cellStyle name="好_力源收益法表定稿（赵总改） 2_人工费表" xfId="2800" xr:uid="{F267EB08-0EFE-44D6-ADB1-3AD2DAF120F9}"/>
    <cellStyle name="好_力源收益法表定稿（赵总改） 2_人工费表 2" xfId="2801" xr:uid="{CFD881D9-0577-4C23-A527-FFB03FC93E26}"/>
    <cellStyle name="好_力源收益法表定稿（赵总改） 2_人工费表_Sheet1" xfId="2802" xr:uid="{4DAC8A05-1E89-418B-B712-02735DDE860B}"/>
    <cellStyle name="好_力源收益法表定稿（赵总改） 2_人工费表_电力企业收益法表格双辽发电厂" xfId="2803" xr:uid="{1C3D06FC-48FA-4EE6-80A2-59E9E99DA92D}"/>
    <cellStyle name="好_力源收益法表定稿（赵总改） 2_人工费表_电力企业收益法表格双辽发电厂 2" xfId="2804" xr:uid="{04EFE172-B91C-469C-98EC-62D8A1E3D210}"/>
    <cellStyle name="好_力源收益法表定稿（赵总改） 2_人工费表_电力企业收益法表格双辽发电厂_Sheet1" xfId="2805" xr:uid="{E1DA7275-6A67-45C4-9C61-81BDD5447D8F}"/>
    <cellStyle name="好_力源收益法表定稿（赵总改） 2_人工费表_双鸭山收益法" xfId="2806" xr:uid="{58C0271D-FCAC-4ECB-A8AD-14F2EF96B507}"/>
    <cellStyle name="好_力源收益法表定稿（赵总改） 2_人工费表_双鸭山收益法 2" xfId="2807" xr:uid="{3794100E-6183-468D-8494-066B85080090}"/>
    <cellStyle name="好_力源收益法表定稿（赵总改） 2_人工费表_双鸭山收益法_Sheet1" xfId="2808" xr:uid="{DF361849-54A6-4B80-B0C5-96D7BCB0382B}"/>
    <cellStyle name="好_力源收益法表定稿（赵总改） 2_双鸭山收益法" xfId="2809" xr:uid="{5904B34B-7841-4495-AE1E-8F2DB8138B74}"/>
    <cellStyle name="好_力源收益法表定稿（赵总改） 2_双鸭山收益法 2" xfId="2810" xr:uid="{E2F2E3B5-A75C-40A9-8F8E-78CEB499AD1F}"/>
    <cellStyle name="好_力源收益法表定稿（赵总改） 2_双鸭山收益法_Sheet1" xfId="2811" xr:uid="{6225EDCE-E575-4C78-A1BA-EDF968BFF551}"/>
    <cellStyle name="好_力源收益法表定稿（赵总改） 3" xfId="2812" xr:uid="{C45AE4D6-F94C-47B5-9C72-6319E741BDA0}"/>
    <cellStyle name="好_力源收益法表定稿（赵总改） 3 2" xfId="2813" xr:uid="{3E55497B-42E4-4797-B763-8CCC5B68C8C1}"/>
    <cellStyle name="好_力源收益法表定稿（赵总改） 3_Sheet1" xfId="2814" xr:uid="{3BE8F4A3-337E-4506-B5E4-3B8D9BEE1A41}"/>
    <cellStyle name="好_力源收益法表定稿（赵总改） 3_电力企业收益法表格双辽发电厂" xfId="2815" xr:uid="{A1EFB2DE-7DE9-49AE-B644-9E20AAC2DC28}"/>
    <cellStyle name="好_力源收益法表定稿（赵总改） 3_电力企业收益法表格双辽发电厂 2" xfId="2816" xr:uid="{BF2E1498-61E9-476B-A136-95FEA79D7901}"/>
    <cellStyle name="好_力源收益法表定稿（赵总改） 3_电力企业收益法表格双辽发电厂_Sheet1" xfId="2817" xr:uid="{E655A5EA-18D1-4A24-818F-89ED15FE9E56}"/>
    <cellStyle name="好_力源收益法表定稿（赵总改） 3_人工费表" xfId="2818" xr:uid="{575B8CAE-C4A7-4ECF-A61A-CEBC61C78FA9}"/>
    <cellStyle name="好_力源收益法表定稿（赵总改） 3_人工费表 2" xfId="2819" xr:uid="{5EFD60DF-C321-404D-88DD-513DBC679927}"/>
    <cellStyle name="好_力源收益法表定稿（赵总改） 3_人工费表_Sheet1" xfId="2820" xr:uid="{896CFA55-03E3-4597-BB34-FC83294229D7}"/>
    <cellStyle name="好_力源收益法表定稿（赵总改） 3_人工费表_电力企业收益法表格双辽发电厂" xfId="2821" xr:uid="{3FA5B1EA-A046-4C70-89B8-D1E994E4F99D}"/>
    <cellStyle name="好_力源收益法表定稿（赵总改） 3_人工费表_电力企业收益法表格双辽发电厂 2" xfId="2822" xr:uid="{34530AE0-9CB2-4791-A1B6-4CCB438121B0}"/>
    <cellStyle name="好_力源收益法表定稿（赵总改） 3_人工费表_电力企业收益法表格双辽发电厂_Sheet1" xfId="2823" xr:uid="{C5E20892-62F8-448D-A3C0-09434A4CE149}"/>
    <cellStyle name="好_力源收益法表定稿（赵总改） 3_人工费表_双鸭山收益法" xfId="2824" xr:uid="{4B313284-E0DD-49F3-8F79-6D25F32BFF09}"/>
    <cellStyle name="好_力源收益法表定稿（赵总改） 3_人工费表_双鸭山收益法 2" xfId="2825" xr:uid="{6F423000-992A-4902-9950-292108FCEA62}"/>
    <cellStyle name="好_力源收益法表定稿（赵总改） 3_人工费表_双鸭山收益法_Sheet1" xfId="2826" xr:uid="{647E56C1-F094-4A07-84B3-5406DA9CB612}"/>
    <cellStyle name="好_力源收益法表定稿（赵总改） 3_双鸭山收益法" xfId="2827" xr:uid="{AA8CAAEC-F89C-4DF6-A0B5-2068223BA02E}"/>
    <cellStyle name="好_力源收益法表定稿（赵总改） 3_双鸭山收益法 2" xfId="2828" xr:uid="{60F66F73-1629-4963-9792-FC79A6E36CB5}"/>
    <cellStyle name="好_力源收益法表定稿（赵总改） 3_双鸭山收益法_Sheet1" xfId="2829" xr:uid="{21EB2C7F-0D0C-4B7A-91DB-5B25DB55800F}"/>
    <cellStyle name="好_力源收益法表定稿（赵总改） 4" xfId="2830" xr:uid="{ECC82EC5-F7D3-451B-9B60-5C7EDA1408CE}"/>
    <cellStyle name="好_力源收益法表定稿（赵总改）_Sheet1" xfId="2831" xr:uid="{C24A1721-4536-42FA-86D9-31BB043C64EE}"/>
    <cellStyle name="好_利港股份收益法3-27" xfId="2832" xr:uid="{ABC24B85-7548-4F94-941D-57D40A327985}"/>
    <cellStyle name="好_利港股份收益法3-27 2" xfId="2833" xr:uid="{A7133669-DCC1-4275-BCE6-C28E4939BE71}"/>
    <cellStyle name="好_利港股份收益法3-27_Sheet1" xfId="2834" xr:uid="{75C68D0C-DF4E-4F9A-8743-F9CE9DEB735E}"/>
    <cellStyle name="好_利港股份收益法3-27_电力企业收益法表格双辽发电厂" xfId="2835" xr:uid="{17CE0DAC-4E9A-4721-9AF3-518FF3ECBA17}"/>
    <cellStyle name="好_利港股份收益法3-27_电力企业收益法表格双辽发电厂 2" xfId="2836" xr:uid="{7B7FBB5B-4703-493C-91D5-35541F535AED}"/>
    <cellStyle name="好_利港股份收益法3-27_电力企业收益法表格双辽发电厂_Sheet1" xfId="2837" xr:uid="{4CA1C327-CF59-49BC-8FCF-A298701FE5C4}"/>
    <cellStyle name="好_利港股份收益法3-27_双鸭山收益法" xfId="2838" xr:uid="{EDEC631A-BF93-400D-AD3D-C858089256EA}"/>
    <cellStyle name="好_利港股份收益法3-27_双鸭山收益法 2" xfId="2839" xr:uid="{E96C779B-E062-41A9-B76B-8FCA8E414453}"/>
    <cellStyle name="好_利港股份收益法3-27_双鸭山收益法_Sheet1" xfId="2840" xr:uid="{DCA36107-1947-4885-B027-C8E14C7396EB}"/>
    <cellStyle name="好_明细表-05上海公司" xfId="2841" xr:uid="{4B6F1137-B6B0-4038-AD32-DF58BE7E59FF}"/>
    <cellStyle name="好_明细表-05上海公司11111111111" xfId="2842" xr:uid="{49118897-709D-4F36-AFF2-FF8B83288590}"/>
    <cellStyle name="好_南京二桥11年车辆情况统计表(含免费)" xfId="2843" xr:uid="{82AC7E15-B205-4FB2-BE0F-979B2BA366D1}"/>
    <cellStyle name="好_评估结果汇总表 (N)" xfId="2844" xr:uid="{2A59A471-4B49-47FC-9FBF-3F0CE8393E7F}"/>
    <cellStyle name="好_评估明细表-股份12" xfId="2845" xr:uid="{3C68D20B-04AC-40E5-8DFD-56E8C8E6999B}"/>
    <cellStyle name="好_评估明细表-股份12 2" xfId="2846" xr:uid="{1A3BC5E8-24BF-4BE9-9FCB-7075198D7F99}"/>
    <cellStyle name="好_评估明细表-股份12_Sheet1" xfId="2847" xr:uid="{CC83419F-6FA7-4579-A77D-DD10F4ECE3BC}"/>
    <cellStyle name="好_评估明细表-股份合并按审计调整10.7" xfId="2848" xr:uid="{08450E21-0AC7-4EC1-B514-B4947E0E5C7F}"/>
    <cellStyle name="好_评估明细表-股份合并按审计调整10.7 2" xfId="2849" xr:uid="{F6B53BF0-8D64-4566-BEC2-C89077BD5979}"/>
    <cellStyle name="好_评估明细表-股份合并按审计调整10.7_Sheet1" xfId="2850" xr:uid="{7D9E437F-6A2A-4F7F-827B-29FA735444C2}"/>
    <cellStyle name="好_评估明细表-中科信息-成本法-1116" xfId="2851" xr:uid="{705D0CD7-1996-4EA6-B85B-7C3C82DAE611}"/>
    <cellStyle name="好_评估明细表-中科信息-成本法-罗定" xfId="2852" xr:uid="{2EA776D0-D591-49FD-B985-A78CB9B5EC13}"/>
    <cellStyle name="好_评估申报表(重庆2007.12.31)" xfId="2853" xr:uid="{6ED8A72E-0DA9-49AC-817E-C9E3061EA570}"/>
    <cellStyle name="好_评估申报表(重庆2007.12.31) 2" xfId="2854" xr:uid="{70A227F3-3982-47DD-BB36-067676B0CEB5}"/>
    <cellStyle name="好_评估申报表(重庆2007.12.31) 2 2" xfId="2855" xr:uid="{87EE38FF-9306-47AC-AC9D-913FD83B76EA}"/>
    <cellStyle name="好_评估申报表(重庆2007.12.31) 2_Sheet1" xfId="2856" xr:uid="{E9BD99DA-7889-4BEE-8B31-59ED54E0772D}"/>
    <cellStyle name="好_评估申报表(重庆2007.12.31) 2_电力企业收益法表格双辽发电厂" xfId="2857" xr:uid="{D1A0FA0D-B250-4D39-B4F0-821E834C6CAE}"/>
    <cellStyle name="好_评估申报表(重庆2007.12.31) 2_电力企业收益法表格双辽发电厂 2" xfId="2858" xr:uid="{6D97A26B-352E-47D9-AA0D-BB275E3568BC}"/>
    <cellStyle name="好_评估申报表(重庆2007.12.31) 2_电力企业收益法表格双辽发电厂_Sheet1" xfId="2859" xr:uid="{CC4B23A2-C711-4329-BC94-84577A16EEF4}"/>
    <cellStyle name="好_评估申报表(重庆2007.12.31) 2_人工费表" xfId="2860" xr:uid="{EC13355D-935E-4786-9497-30082803F072}"/>
    <cellStyle name="好_评估申报表(重庆2007.12.31) 2_人工费表 2" xfId="2861" xr:uid="{1F54F00E-8D48-4197-85ED-69010EABC0BC}"/>
    <cellStyle name="好_评估申报表(重庆2007.12.31) 2_人工费表_Sheet1" xfId="2862" xr:uid="{0F164F7A-5399-4D94-B65C-96338EB82669}"/>
    <cellStyle name="好_评估申报表(重庆2007.12.31) 2_人工费表_电力企业收益法表格双辽发电厂" xfId="2863" xr:uid="{B225E95E-3F6E-4E0B-BCE2-B88851C2CC41}"/>
    <cellStyle name="好_评估申报表(重庆2007.12.31) 2_人工费表_电力企业收益法表格双辽发电厂 2" xfId="2864" xr:uid="{F8A42F38-3638-4330-8277-ECF95A8F775B}"/>
    <cellStyle name="好_评估申报表(重庆2007.12.31) 2_人工费表_电力企业收益法表格双辽发电厂_Sheet1" xfId="2865" xr:uid="{405201E1-2646-4188-94F7-151166A0220F}"/>
    <cellStyle name="好_评估申报表(重庆2007.12.31) 2_人工费表_双鸭山收益法" xfId="2866" xr:uid="{CB05D3C2-1701-4B0E-9CEE-99238F8B70B8}"/>
    <cellStyle name="好_评估申报表(重庆2007.12.31) 2_人工费表_双鸭山收益法 2" xfId="2867" xr:uid="{ECED1F5B-3463-4C11-BB82-15A6938FC36E}"/>
    <cellStyle name="好_评估申报表(重庆2007.12.31) 2_人工费表_双鸭山收益法_Sheet1" xfId="2868" xr:uid="{56C01E3D-8292-494F-B580-A49BB3257D52}"/>
    <cellStyle name="好_评估申报表(重庆2007.12.31) 2_双鸭山收益法" xfId="2869" xr:uid="{50FEEC15-9959-43DD-987D-6F60537098BB}"/>
    <cellStyle name="好_评估申报表(重庆2007.12.31) 2_双鸭山收益法 2" xfId="2870" xr:uid="{5ADD195A-8563-4B9C-9B93-561636D7F29D}"/>
    <cellStyle name="好_评估申报表(重庆2007.12.31) 2_双鸭山收益法_Sheet1" xfId="2871" xr:uid="{E02817C3-18F9-472A-92CD-DA53EA75D810}"/>
    <cellStyle name="好_评估申报表(重庆2007.12.31) 3" xfId="2872" xr:uid="{C57D4FBA-8DBB-4128-89AD-12BA52C788A4}"/>
    <cellStyle name="好_评估申报表(重庆2007.12.31) 3 2" xfId="2873" xr:uid="{698FDA65-2A6D-4B3C-8461-F61092A57127}"/>
    <cellStyle name="好_评估申报表(重庆2007.12.31) 3_Sheet1" xfId="2874" xr:uid="{E68B41BE-2B7E-4034-B508-D5D551B6537A}"/>
    <cellStyle name="好_评估申报表(重庆2007.12.31) 3_电力企业收益法表格双辽发电厂" xfId="2875" xr:uid="{A5E4DCDA-3D5C-4AD5-9078-45DADFBAFAF9}"/>
    <cellStyle name="好_评估申报表(重庆2007.12.31) 3_电力企业收益法表格双辽发电厂 2" xfId="2876" xr:uid="{99AC6EA4-EF92-4F67-9EAA-292C8BCCAB62}"/>
    <cellStyle name="好_评估申报表(重庆2007.12.31) 3_电力企业收益法表格双辽发电厂_Sheet1" xfId="2877" xr:uid="{C7C12499-0AD4-4E0B-A503-A05C148D9D8B}"/>
    <cellStyle name="好_评估申报表(重庆2007.12.31) 3_人工费表" xfId="2878" xr:uid="{AEC04B60-B16D-4825-B751-A4155940FA61}"/>
    <cellStyle name="好_评估申报表(重庆2007.12.31) 3_人工费表 2" xfId="2879" xr:uid="{94FA75B4-13F8-4B56-B3C2-684AAE2C11CB}"/>
    <cellStyle name="好_评估申报表(重庆2007.12.31) 3_人工费表_Sheet1" xfId="2880" xr:uid="{D036BF68-E851-4D05-8E5E-98B9A66C1650}"/>
    <cellStyle name="好_评估申报表(重庆2007.12.31) 3_人工费表_电力企业收益法表格双辽发电厂" xfId="2881" xr:uid="{8F682342-7CBE-45A9-A24C-E521AB102B84}"/>
    <cellStyle name="好_评估申报表(重庆2007.12.31) 3_人工费表_电力企业收益法表格双辽发电厂 2" xfId="2882" xr:uid="{8CD7945F-51BC-4842-9234-66E5AE8CD858}"/>
    <cellStyle name="好_评估申报表(重庆2007.12.31) 3_人工费表_电力企业收益法表格双辽发电厂_Sheet1" xfId="2883" xr:uid="{364E985C-6BAB-4F74-95DE-641EDEEA4CA5}"/>
    <cellStyle name="好_评估申报表(重庆2007.12.31) 3_人工费表_双鸭山收益法" xfId="2884" xr:uid="{6EFB34F9-F764-4A51-8157-DCFB553516B1}"/>
    <cellStyle name="好_评估申报表(重庆2007.12.31) 3_人工费表_双鸭山收益法 2" xfId="2885" xr:uid="{F1487413-D315-47C6-8F89-3731E13EC0FB}"/>
    <cellStyle name="好_评估申报表(重庆2007.12.31) 3_人工费表_双鸭山收益法_Sheet1" xfId="2886" xr:uid="{3DDFAEF0-22A3-4AC4-9439-D1FB06FD7A0E}"/>
    <cellStyle name="好_评估申报表(重庆2007.12.31) 3_双鸭山收益法" xfId="2887" xr:uid="{5A60A3EB-588C-41A6-84F2-13D7AE731ABC}"/>
    <cellStyle name="好_评估申报表(重庆2007.12.31) 3_双鸭山收益法 2" xfId="2888" xr:uid="{D7F55B8F-CC1E-48B7-AFB4-2991068656D7}"/>
    <cellStyle name="好_评估申报表(重庆2007.12.31) 3_双鸭山收益法_Sheet1" xfId="2889" xr:uid="{465515B5-FA65-4C56-AE96-21AC11A58EAC}"/>
    <cellStyle name="好_评估申报表(重庆2007.12.31) 4" xfId="2890" xr:uid="{36EB4DE7-D5CA-4B32-AC64-2ABEE915669F}"/>
    <cellStyle name="好_评估申报表(重庆2007.12.31)_Sheet1" xfId="2891" xr:uid="{817983F3-99A0-423F-8B16-7C4C5D51DB06}"/>
    <cellStyle name="好_评估申报表(重庆2007.12.31)_电力企业收益法表格双辽发电厂" xfId="2892" xr:uid="{50FA1303-A348-4248-83C3-BBE458330C78}"/>
    <cellStyle name="好_评估申报表(重庆2007.12.31)_电力企业收益法表格双辽发电厂 2" xfId="2893" xr:uid="{89A1F176-2964-48FD-A592-143F8BBAA3CF}"/>
    <cellStyle name="好_评估申报表(重庆2007.12.31)_电力企业收益法表格双辽发电厂_Sheet1" xfId="2894" xr:uid="{0D64018D-2DC6-4F59-8E9D-0008949D09E0}"/>
    <cellStyle name="好_评估申报表(重庆2007.12.31)_管理费用预测表" xfId="2895" xr:uid="{A8EFFC21-00B1-49CF-B551-4EAFAB6A0475}"/>
    <cellStyle name="好_评估申报表(重庆2007.12.31)_管理费用预测表 2" xfId="2896" xr:uid="{CA918934-460E-4B86-A18D-BA07B7DEFAF0}"/>
    <cellStyle name="好_评估申报表(重庆2007.12.31)_管理费用预测表_Sheet1" xfId="2897" xr:uid="{8A5BF89E-606D-4473-8362-B02091B61660}"/>
    <cellStyle name="好_评估申报表(重庆2007.12.31)_收益法明细表20100506-李雪飞" xfId="2898" xr:uid="{B1021F56-EAE3-4693-9C31-4176A4D7FA98}"/>
    <cellStyle name="好_评估申报表(重庆2007.12.31)_收益法明细表20100506-李雪飞 2" xfId="2899" xr:uid="{449B7E64-9D50-4055-9380-F49FA9447A6A}"/>
    <cellStyle name="好_评估申报表(重庆2007.12.31)_收益法明细表20100506-李雪飞_Sheet1" xfId="2900" xr:uid="{9F3B8587-9BB5-49DD-B123-08A0B6BDCDF9}"/>
    <cellStyle name="好_评估申报表(重庆2007.12.31)_收益法评估申报表(武汉燃料)2010-4-25" xfId="2901" xr:uid="{E23F37AF-C1DF-43A0-81BB-A7E8682FABC5}"/>
    <cellStyle name="好_评估申报表(重庆2007.12.31)_收益法评估申报表(武汉燃料)2010-4-26" xfId="2902" xr:uid="{B5A2ACEA-5257-4848-A857-91330C9000A7}"/>
    <cellStyle name="好_评估申报表(重庆2007.12.31)_双鸭山收益法" xfId="2903" xr:uid="{DBA1EDDE-6294-4680-9875-D1F4073496F4}"/>
    <cellStyle name="好_评估申报表(重庆2007.12.31)_双鸭山收益法 2" xfId="2904" xr:uid="{DCCAF43E-CCE3-4F99-B662-C3CB8E6C7E12}"/>
    <cellStyle name="好_评估申报表(重庆2007.12.31)_双鸭山收益法_Sheet1" xfId="2905" xr:uid="{0B1D2F07-9A88-4761-8C39-799F03BDCE5E}"/>
    <cellStyle name="好_评估申报表(重庆2007.12.31)_资本支出预测表" xfId="2906" xr:uid="{C87CBD12-C9D0-4867-86CB-F51A78A8A4DA}"/>
    <cellStyle name="好_评估申报表(重庆2007.12.31)_资本支出预测表 2" xfId="2907" xr:uid="{5105065C-270A-43AF-A22B-EEC06C66084F}"/>
    <cellStyle name="好_评估申报表(重庆2007.12.31)_资本支出预测表_Sheet1" xfId="2908" xr:uid="{3C135380-DE40-4668-8F5C-AE27A8A1F822}"/>
    <cellStyle name="好_评估申报表-潮州远泰0112" xfId="2909" xr:uid="{D007644B-45A5-4AB3-A877-5D8ACD24D5C2}"/>
    <cellStyle name="好_评估申报表-潮州远泰0112 2" xfId="2910" xr:uid="{7B5FEAD9-8491-4ECB-A286-DA8AE304BA48}"/>
    <cellStyle name="好_评估申报表-潮州远泰0112_Sheet1" xfId="2911" xr:uid="{CBF2549A-A6AF-4519-949A-DDF3080DBE7C}"/>
    <cellStyle name="好_其他应付款" xfId="2912" xr:uid="{EACFDFC3-31BA-4E5A-93F0-56413D1DD587}"/>
    <cellStyle name="好_其他应付款_其他应付款" xfId="2913" xr:uid="{0A72849F-B6B9-4737-B90F-863958179E1C}"/>
    <cellStyle name="好_其他应付款_其他应收款" xfId="2914" xr:uid="{9213B5DB-0D5B-4BB9-905F-1943064D0539}"/>
    <cellStyle name="好_其他应付款_应付账款" xfId="2915" xr:uid="{856F509A-687B-484E-9C49-702AA325E4AB}"/>
    <cellStyle name="好_其他应付款_应收账款" xfId="2916" xr:uid="{57367068-71FD-4797-B225-C3A0BC509C0E}"/>
    <cellStyle name="好_其他应付款_预付账款" xfId="2917" xr:uid="{80074874-74B6-455F-B198-6F462BF318EC}"/>
    <cellStyle name="好_其他应收款" xfId="2918" xr:uid="{B2BE703B-4C89-4F37-8B35-D5AA09610C33}"/>
    <cellStyle name="好_其他应收款_1" xfId="2919" xr:uid="{A10E4D3E-EB52-4414-89B1-41DCCA411690}"/>
    <cellStyle name="好_青铝股份非经营、负债明细" xfId="2920" xr:uid="{EE9DF73E-87AD-45E2-92B2-A9AB86F103BF}"/>
    <cellStyle name="好_青铝股份非经营、负债明细 2" xfId="2921" xr:uid="{3228323C-E2AA-4FA4-B2E3-3EC901F8A27B}"/>
    <cellStyle name="好_青铝股份非经营、负债明细_Sheet1" xfId="2922" xr:uid="{5E6595EA-EDA6-48EF-9E40-8AEE0274BBB9}"/>
    <cellStyle name="好_权益法－研发费用" xfId="2923" xr:uid="{718B7E7E-C843-4AD1-8455-6E3998A2A914}"/>
    <cellStyle name="好_人工费用" xfId="2924" xr:uid="{6BD33806-C25A-40A6-B9B2-B572E53F8C6E}"/>
    <cellStyle name="好_人工费用 2" xfId="2925" xr:uid="{6A170586-5AA9-49B6-9988-C15216439DED}"/>
    <cellStyle name="好_人工费用_Sheet1" xfId="2926" xr:uid="{E8B6ECD9-5781-44A6-80C0-2BC73A2D88C0}"/>
    <cellStyle name="好_人工费用表" xfId="2927" xr:uid="{EEBB1AFB-17D2-48F4-88BB-9A50EDFBCABD}"/>
    <cellStyle name="好_人工费用表 2" xfId="2928" xr:uid="{79371337-C990-4DC4-A076-29D0D3329148}"/>
    <cellStyle name="好_人工费用表_Sheet1" xfId="2929" xr:uid="{9AF85960-FD36-4678-A469-6F9231EA60D9}"/>
    <cellStyle name="好_上海-收益法12-20" xfId="2930" xr:uid="{9DB7C0BC-95F5-4E39-8255-160E14D1F345}"/>
    <cellStyle name="好_上海-收益法12-20 2" xfId="2931" xr:uid="{8B432381-655E-4B46-BDD0-D39DF7C1C6AF}"/>
    <cellStyle name="好_上海-收益法12-20 2 2" xfId="2932" xr:uid="{46008847-81DD-4A91-ACD2-F6699A077ECB}"/>
    <cellStyle name="好_上海-收益法12-20 2_Sheet1" xfId="2933" xr:uid="{DD54F498-2FAE-4716-ACA0-E3D609A7935D}"/>
    <cellStyle name="好_上海-收益法12-20 2_电力企业收益法表格双辽发电厂" xfId="2934" xr:uid="{961305C8-C763-4E4B-8D78-328AAE0D0BE3}"/>
    <cellStyle name="好_上海-收益法12-20 2_电力企业收益法表格双辽发电厂 2" xfId="2935" xr:uid="{4B076481-95DA-4D4D-B032-696BB23CC18D}"/>
    <cellStyle name="好_上海-收益法12-20 2_电力企业收益法表格双辽发电厂_Sheet1" xfId="2936" xr:uid="{7A15FE64-453C-4BF5-A282-9FB7BC590509}"/>
    <cellStyle name="好_上海-收益法12-20 2_人工费表" xfId="2937" xr:uid="{16778A69-8AA0-4799-8E0D-8ED0982833C4}"/>
    <cellStyle name="好_上海-收益法12-20 2_人工费表 2" xfId="2938" xr:uid="{213F508D-D397-434C-84B6-F80C9F24E67A}"/>
    <cellStyle name="好_上海-收益法12-20 2_人工费表_Sheet1" xfId="2939" xr:uid="{55DBD8FB-F44E-4B98-9ADD-41FF8C29C2E7}"/>
    <cellStyle name="好_上海-收益法12-20 2_人工费表_电力企业收益法表格双辽发电厂" xfId="2940" xr:uid="{6E9DCA55-9B66-4A68-811B-3C35D82D1037}"/>
    <cellStyle name="好_上海-收益法12-20 2_人工费表_电力企业收益法表格双辽发电厂 2" xfId="2941" xr:uid="{4B03F7E2-2C1F-4FF2-BA26-18EA12982569}"/>
    <cellStyle name="好_上海-收益法12-20 2_人工费表_电力企业收益法表格双辽发电厂_Sheet1" xfId="2942" xr:uid="{C3B42206-A15C-4DF9-BC01-42340B8EA117}"/>
    <cellStyle name="好_上海-收益法12-20 2_人工费表_双鸭山收益法" xfId="2943" xr:uid="{780C0DFD-D438-4177-85A0-81C6930DF365}"/>
    <cellStyle name="好_上海-收益法12-20 2_人工费表_双鸭山收益法 2" xfId="2944" xr:uid="{3727AA72-9B70-495B-B8AE-D3E2F2BF6557}"/>
    <cellStyle name="好_上海-收益法12-20 2_人工费表_双鸭山收益法_Sheet1" xfId="2945" xr:uid="{24E4D3CC-AC02-4CFB-AB37-A6A17E10DC64}"/>
    <cellStyle name="好_上海-收益法12-20 2_双鸭山收益法" xfId="2946" xr:uid="{3FFDA953-C4F0-4C9D-839B-5BB3341F5971}"/>
    <cellStyle name="好_上海-收益法12-20 2_双鸭山收益法 2" xfId="2947" xr:uid="{99FCA5A0-1B82-4688-ACF8-670F60DD7B24}"/>
    <cellStyle name="好_上海-收益法12-20 2_双鸭山收益法_Sheet1" xfId="2948" xr:uid="{1851189D-0ADA-450E-B7D2-569A285FA8ED}"/>
    <cellStyle name="好_上海-收益法12-20 3" xfId="2949" xr:uid="{94308D37-7D61-4591-A635-AD921575B98B}"/>
    <cellStyle name="好_上海-收益法12-20 3 2" xfId="2950" xr:uid="{2FE3AAE1-4D4A-42FC-987B-0DCEBDE27C9E}"/>
    <cellStyle name="好_上海-收益法12-20 3_Sheet1" xfId="2951" xr:uid="{ED6CDD79-F6FC-44D0-917C-B3B98C391A00}"/>
    <cellStyle name="好_上海-收益法12-20 3_电力企业收益法表格双辽发电厂" xfId="2952" xr:uid="{0496D344-E642-4E70-9F59-7C85F95EB2DE}"/>
    <cellStyle name="好_上海-收益法12-20 3_电力企业收益法表格双辽发电厂 2" xfId="2953" xr:uid="{328809C8-195E-480C-ACD9-1CBCAA9D0C88}"/>
    <cellStyle name="好_上海-收益法12-20 3_电力企业收益法表格双辽发电厂_Sheet1" xfId="2954" xr:uid="{DA8C61AD-525F-4522-9F29-A71F70E34B15}"/>
    <cellStyle name="好_上海-收益法12-20 3_人工费表" xfId="2955" xr:uid="{A8F15FB3-A1C8-4CDC-B82F-4EDCD02197C7}"/>
    <cellStyle name="好_上海-收益法12-20 3_人工费表 2" xfId="2956" xr:uid="{D802DB65-9520-4E59-BF7F-601A168ECFCC}"/>
    <cellStyle name="好_上海-收益法12-20 3_人工费表_Sheet1" xfId="2957" xr:uid="{D3D6B42E-DD24-43B5-9DDE-DF4A25E3D5AD}"/>
    <cellStyle name="好_上海-收益法12-20 3_人工费表_电力企业收益法表格双辽发电厂" xfId="2958" xr:uid="{27A0095D-CDE6-47A3-9E72-7E6464A82408}"/>
    <cellStyle name="好_上海-收益法12-20 3_人工费表_电力企业收益法表格双辽发电厂 2" xfId="2959" xr:uid="{95176BBE-BD74-473A-A563-7CED41A7C141}"/>
    <cellStyle name="好_上海-收益法12-20 3_人工费表_电力企业收益法表格双辽发电厂_Sheet1" xfId="2960" xr:uid="{126A2070-1C27-46E2-A50B-D320A3ACAD11}"/>
    <cellStyle name="好_上海-收益法12-20 3_人工费表_双鸭山收益法" xfId="2961" xr:uid="{69F50F50-A20A-4FC7-A740-6B3B5CDE2B26}"/>
    <cellStyle name="好_上海-收益法12-20 3_人工费表_双鸭山收益法 2" xfId="2962" xr:uid="{65A5F798-469F-473B-AF59-E0973660EA78}"/>
    <cellStyle name="好_上海-收益法12-20 3_人工费表_双鸭山收益法_Sheet1" xfId="2963" xr:uid="{50C09C0C-FEAE-4CA8-B1AA-F1FE0468BF6A}"/>
    <cellStyle name="好_上海-收益法12-20 3_双鸭山收益法" xfId="2964" xr:uid="{A374BA07-A60F-4F83-901A-C88E15F9100D}"/>
    <cellStyle name="好_上海-收益法12-20 3_双鸭山收益法 2" xfId="2965" xr:uid="{912C508D-F836-49F1-9360-61760E3B39E2}"/>
    <cellStyle name="好_上海-收益法12-20 3_双鸭山收益法_Sheet1" xfId="2966" xr:uid="{F72E68A6-15AD-4B15-AF4A-C044019ECFC7}"/>
    <cellStyle name="好_上海-收益法12-20 4" xfId="2967" xr:uid="{F74A6884-F0E1-45C6-ACC9-6A518D2C076A}"/>
    <cellStyle name="好_上海-收益法12-20_Sheet1" xfId="2968" xr:uid="{58A306C5-53A3-4777-86BF-FD1FEC59B891}"/>
    <cellStyle name="好_上海所技术评估计算模型" xfId="2969" xr:uid="{C8CCE44E-0269-44F1-A3C5-05BE668FEB97}"/>
    <cellStyle name="好_上海所技术评估计算模型 10" xfId="2970" xr:uid="{A3941BFB-1E44-49B7-93CD-08751FADD178}"/>
    <cellStyle name="好_上海所技术评估计算模型 2" xfId="2971" xr:uid="{FAAA1288-6BCE-403A-8D1D-2253484E584C}"/>
    <cellStyle name="好_上海所技术评估计算模型 2_电力企业收益法表格双辽发电厂" xfId="2972" xr:uid="{757E423B-7EB8-4E90-8A05-7FD6901E10F8}"/>
    <cellStyle name="好_上海所技术评估计算模型 2_人工费表" xfId="2973" xr:uid="{5515676B-5769-4BE4-9826-F46837A09D5B}"/>
    <cellStyle name="好_上海所技术评估计算模型 2_人工费表_电力企业收益法表格双辽发电厂" xfId="2974" xr:uid="{8852EE41-D0C8-45EC-AAB8-A39D5F579CFB}"/>
    <cellStyle name="好_上海所技术评估计算模型 2_人工费表_双鸭山收益法" xfId="2975" xr:uid="{99346EA4-D552-43E4-A77E-7F3D48C3D2AF}"/>
    <cellStyle name="好_上海所技术评估计算模型 2_双鸭山收益法" xfId="2976" xr:uid="{FC2D8C9F-A5BC-480F-8810-E23F1B5F8D2B}"/>
    <cellStyle name="好_上海所技术评估计算模型 3" xfId="2977" xr:uid="{238F54B0-4944-4C95-83CF-8866F171DF19}"/>
    <cellStyle name="好_上海所技术评估计算模型 3_电力企业收益法表格双辽发电厂" xfId="2978" xr:uid="{C2F96170-69E7-4440-87A4-0473557741F6}"/>
    <cellStyle name="好_上海所技术评估计算模型 3_人工费表" xfId="2979" xr:uid="{9637EDA5-673A-486C-B2AB-0227BF72EFE8}"/>
    <cellStyle name="好_上海所技术评估计算模型 3_人工费表_电力企业收益法表格双辽发电厂" xfId="2980" xr:uid="{8003D82E-E943-427E-A8F6-0D2B83B090AE}"/>
    <cellStyle name="好_上海所技术评估计算模型 3_人工费表_双鸭山收益法" xfId="2981" xr:uid="{7B3EA9E8-EDC4-4282-8209-D944634D809C}"/>
    <cellStyle name="好_上海所技术评估计算模型 3_双鸭山收益法" xfId="2982" xr:uid="{019D2A98-EDCC-43D5-B369-3D35992F69A2}"/>
    <cellStyle name="好_上海所技术评估计算模型 4" xfId="2983" xr:uid="{3E248A5B-8A00-49A4-89D7-2378E145FE63}"/>
    <cellStyle name="好_上海所技术评估计算模型 5" xfId="2984" xr:uid="{4E8EE13C-2425-418B-930D-86EA4019A893}"/>
    <cellStyle name="好_上海所技术评估计算模型 6" xfId="2985" xr:uid="{6055177C-A127-4D3D-AE40-C82F6954924E}"/>
    <cellStyle name="好_上海所技术评估计算模型 7" xfId="2986" xr:uid="{6B191061-70A0-49C0-A151-F6B50CF8690B}"/>
    <cellStyle name="好_上海所技术评估计算模型 8" xfId="2987" xr:uid="{F8630EC8-46C1-4B97-8243-1518223D151B}"/>
    <cellStyle name="好_上海所技术评估计算模型 9" xfId="2988" xr:uid="{2C4288A3-BCDD-48DB-88DA-FA57113AFC58}"/>
    <cellStyle name="好_上海所技术评估计算模型_Sheet1" xfId="2989" xr:uid="{A2C2777A-DDE2-4009-BB38-932E7C999186}"/>
    <cellStyle name="好_设备—非经性资产" xfId="2990" xr:uid="{FB296DB6-B83A-49F9-AC96-9D7FEC67AC25}"/>
    <cellStyle name="好_设备—非经性资产 2" xfId="2991" xr:uid="{553B6A13-D155-40EC-9B98-11222FFF1D85}"/>
    <cellStyle name="好_设备—非经性资产_Sheet1" xfId="2992" xr:uid="{E0FED13E-B34D-409F-A937-899E25CC9255}"/>
    <cellStyle name="好_设备评估明细表（9.24韩）" xfId="2993" xr:uid="{10B3303F-5057-49D4-A5CA-DFF76EC4C11C}"/>
    <cellStyle name="好_设备评估明细表（9.24韩） 2" xfId="2994" xr:uid="{A6AC31CF-7414-46B8-9A88-00A46D7E6028}"/>
    <cellStyle name="好_设备评估明细表（9.24韩）_Sheet1" xfId="2995" xr:uid="{6D3836F6-D00D-4C4F-A36A-9FCB0B0CE8FE}"/>
    <cellStyle name="好_收益法表（远泰）-0116" xfId="2996" xr:uid="{6BBE68E2-441B-48EA-92F3-0067B8B57FA4}"/>
    <cellStyle name="好_收益法表（远泰）-0116 2" xfId="2997" xr:uid="{1FA2EF6C-6FCD-4777-AD40-D962EFBB1209}"/>
    <cellStyle name="好_收益法表（远泰）-0116_Sheet1" xfId="2998" xr:uid="{92AAFB0B-8265-4E88-8FE3-B468CF0AD3A2}"/>
    <cellStyle name="好_收益法计算表" xfId="2999" xr:uid="{37DF6809-4CD1-4B53-BA56-F358B278CEEE}"/>
    <cellStyle name="好_收益法计算表1.6" xfId="3000" xr:uid="{FCFD628F-7C60-4A54-9390-2CA8FDE771EA}"/>
    <cellStyle name="好_收益法明细表20100506-李雪飞" xfId="3001" xr:uid="{C905E1E7-E6A8-4416-BB63-8B0E78FE10AB}"/>
    <cellStyle name="好_收益法明细表20100506-李雪飞 2" xfId="3002" xr:uid="{F40EBB68-F3C0-4803-96AD-553B3C7A159F}"/>
    <cellStyle name="好_收益法明细表20100506-李雪飞_Sheet1" xfId="3003" xr:uid="{9B56FE07-29E7-46DA-AEE1-AE182844D2FF}"/>
    <cellStyle name="好_收益法模型表" xfId="3004" xr:uid="{CA347079-3B5A-42D0-8324-D2E8525C0AF7}"/>
    <cellStyle name="好_收益法模型表1" xfId="3005" xr:uid="{C3062C35-79F7-4CC1-9E8D-B107E4F8C6CE}"/>
    <cellStyle name="好_收益法模型表1 2" xfId="3006" xr:uid="{F70C2B3E-791E-470D-93B3-AF3124222BA3}"/>
    <cellStyle name="好_收益法模型表1_Sheet1" xfId="3007" xr:uid="{0A7ADEB4-D4AC-487C-AE0A-614A45FA494B}"/>
    <cellStyle name="好_收益法模型表-开发公司-修改" xfId="3008" xr:uid="{5BF04D1D-C934-4F3F-886C-86B2E492A838}"/>
    <cellStyle name="好_收益法模型表-开发公司-修改 2" xfId="3009" xr:uid="{2E4EE55F-C418-45C7-AF47-72CEC40CF772}"/>
    <cellStyle name="好_收益法模型表-开发公司-修改_Sheet1" xfId="3010" xr:uid="{D41BE74C-C602-4C1B-84DD-233D3DFE41C4}"/>
    <cellStyle name="好_收益法模型表-青铜峡铝业0911" xfId="3011" xr:uid="{D8CAFF32-E9D8-40C4-90A4-05DDF99810DA}"/>
    <cellStyle name="好_收益法模型表-青铜峡铝业0911 2" xfId="3012" xr:uid="{AF1D10E2-789A-4F56-8578-8141EF3C7F8B}"/>
    <cellStyle name="好_收益法模型表-青铜峡铝业0911_Sheet1" xfId="3013" xr:uid="{74FEA349-68C5-4AD2-9ABB-15C62EBA54BB}"/>
    <cellStyle name="好_收益法评估表格1122" xfId="3014" xr:uid="{5C165E6C-9BAE-4612-B86F-39A4AD0220DC}"/>
    <cellStyle name="好_收益法评估表格1122_电力企业收益法表格双辽发电厂" xfId="3015" xr:uid="{963A31F9-A095-4641-B3A8-53E016C99EB9}"/>
    <cellStyle name="好_收益法评估表格1122_管理费用预测表" xfId="3016" xr:uid="{7D6E961D-2093-4203-88F9-DC5D1A8280ED}"/>
    <cellStyle name="好_收益法评估表格1122_收益法明细表20100506-李雪飞" xfId="3017" xr:uid="{902DC379-71DF-48EE-829D-5F0197134B2C}"/>
    <cellStyle name="好_收益法评估表格1122_收益法评估申报表(武汉燃料)2010-4-25" xfId="3018" xr:uid="{CB8B3455-5952-450C-B522-2B9878CEB140}"/>
    <cellStyle name="好_收益法评估表格1122_收益法评估申报表(武汉燃料)2010-4-26" xfId="3019" xr:uid="{6284C325-4D8A-4A59-9544-BC26D6822CC4}"/>
    <cellStyle name="好_收益法评估表格1122_双鸭山收益法" xfId="3020" xr:uid="{1FD85BB5-0A26-48D0-B927-5A491BF64591}"/>
    <cellStyle name="好_收益法评估表格1122_资本支出预测表" xfId="3021" xr:uid="{5A96D34F-9559-4C0D-8515-7C215255BA68}"/>
    <cellStyle name="好_收益法评估表格20071010" xfId="3022" xr:uid="{BD15BB1F-F123-4AAC-A487-A3FE8F347FBE}"/>
    <cellStyle name="好_收益法评估表格20071010_电力企业收益法表格双辽发电厂" xfId="3023" xr:uid="{6FF59098-3DEA-414A-B6EB-4F89D2A269CE}"/>
    <cellStyle name="好_收益法评估表格20071010_管理费用预测表" xfId="3024" xr:uid="{D1E6DB7C-8048-44DC-A1F6-5F5C20CDAC5F}"/>
    <cellStyle name="好_收益法评估表格20071010_收益法明细表20100506-李雪飞" xfId="3025" xr:uid="{36CB66E9-293D-4A88-BE10-26103F13FB00}"/>
    <cellStyle name="好_收益法评估表格20071010_收益法评估申报表(武汉燃料)2010-4-25" xfId="3026" xr:uid="{E6433200-F2BD-47BB-815F-490D594C0C7C}"/>
    <cellStyle name="好_收益法评估表格20071010_收益法评估申报表(武汉燃料)2010-4-26" xfId="3027" xr:uid="{D3177480-8DB1-4FA4-B427-8189D115ED5F}"/>
    <cellStyle name="好_收益法评估表格20071010_双鸭山收益法" xfId="3028" xr:uid="{4B214A52-D495-405F-8F3B-A787F02FBE2A}"/>
    <cellStyle name="好_收益法评估表格20071010_资本支出预测表" xfId="3029" xr:uid="{424CA495-4089-4003-B7C5-792FE782B8A6}"/>
    <cellStyle name="好_收益法评估申报表(武汉燃料)2010-4-25" xfId="3030" xr:uid="{D959539C-C0E5-4146-A5A1-05E61F183757}"/>
    <cellStyle name="好_收益法评估申报表(武汉燃料)2010-4-26" xfId="3031" xr:uid="{B3644607-5839-4F4C-BE7E-A5FF542D683B}"/>
    <cellStyle name="好_收益法评估申报表9.15年" xfId="3032" xr:uid="{E2388A00-8549-490D-904C-79DB5D204A60}"/>
    <cellStyle name="好_收益法申报表－报送" xfId="3033" xr:uid="{FB543342-536C-463C-9752-F89F791CBAAA}"/>
    <cellStyle name="好_收益法折现率模型" xfId="3034" xr:uid="{C6BAC6F1-F71E-4821-8B4E-0C139A1FDB4E}"/>
    <cellStyle name="好_收益法折现率模型 2" xfId="3035" xr:uid="{0EA16169-BD60-4470-8B5B-EB522B13CC26}"/>
    <cellStyle name="好_收益法折现率模型_Sheet1" xfId="3036" xr:uid="{BC35B497-8C5D-4A0A-8C41-94036960C938}"/>
    <cellStyle name="好_收益预测表" xfId="3037" xr:uid="{1676774C-44FB-4A65-B9D7-AF2ABB69C0DA}"/>
    <cellStyle name="好_收益预测表 2" xfId="3038" xr:uid="{951F5FA7-91C3-49C1-85AD-CA02D369E941}"/>
    <cellStyle name="好_收益预测表_Sheet1" xfId="3039" xr:uid="{1807D5CC-F616-4176-8EC7-59252D7AAF9A}"/>
    <cellStyle name="好_收益预测表_管理费用预测表" xfId="3040" xr:uid="{47AE4BA4-3E65-4A52-B7AD-BBDA9C79951D}"/>
    <cellStyle name="好_收益预测表_管理费用预测表 2" xfId="3041" xr:uid="{E3EE126B-AE79-42E6-99B7-7DAE9EB1792D}"/>
    <cellStyle name="好_收益预测表_管理费用预测表_Sheet1" xfId="3042" xr:uid="{26FA3D6B-FCCC-4DA3-958B-03D06CF6E110}"/>
    <cellStyle name="好_收益预测表_收益法明细表20100506-李雪飞" xfId="3043" xr:uid="{37C1A0D8-9705-4363-9365-941B928CD7A6}"/>
    <cellStyle name="好_收益预测表_收益法明细表20100506-李雪飞 2" xfId="3044" xr:uid="{6156E5D9-A297-452B-B38C-1BFB9D6D5AF6}"/>
    <cellStyle name="好_收益预测表_收益法明细表20100506-李雪飞_Sheet1" xfId="3045" xr:uid="{A2B668D9-4CDE-4F2F-A15F-2FF0C56F4D5F}"/>
    <cellStyle name="好_收益预测表_收益法评估申报表(武汉燃料)2010-4-25" xfId="3046" xr:uid="{0A0E3D0A-99B9-4E2E-8C41-D0AE11ADB024}"/>
    <cellStyle name="好_收益预测表_收益法评估申报表(武汉燃料)2010-4-26" xfId="3047" xr:uid="{B5D77C9C-E2DB-4C07-AE52-FF541F42D755}"/>
    <cellStyle name="好_收益预测表_资本支出预测表" xfId="3048" xr:uid="{B51B2740-D3B2-43B1-A16F-83DA7F003E1E}"/>
    <cellStyle name="好_收益预测表_资本支出预测表 2" xfId="3049" xr:uid="{ADD720B5-B1F5-4C69-B18F-6F8BEF3AC2D3}"/>
    <cellStyle name="好_收益预测表_资本支出预测表_Sheet1" xfId="3050" xr:uid="{6A470E84-E067-4575-8B87-5F8E241CE742}"/>
    <cellStyle name="好_收益预测表1" xfId="3051" xr:uid="{F0D022DF-B9E3-472F-9FA6-44DBCAE81F82}"/>
    <cellStyle name="好_收益预测表1 2" xfId="3052" xr:uid="{4AE35F3A-5C4B-4C9D-B3B3-D9BEBBE7D8F3}"/>
    <cellStyle name="好_收益预测表1_Sheet1" xfId="3053" xr:uid="{E2A8F26A-845A-404B-AD96-E0D1A150364B}"/>
    <cellStyle name="好_收益预测表1_管理费用预测表" xfId="3054" xr:uid="{CAA17232-D2E8-4D26-A88B-9F561590AC57}"/>
    <cellStyle name="好_收益预测表1_管理费用预测表 2" xfId="3055" xr:uid="{DFECD700-18BC-4C2D-AC00-529D53195688}"/>
    <cellStyle name="好_收益预测表1_管理费用预测表_Sheet1" xfId="3056" xr:uid="{6226013E-38C5-493C-8780-EC273898CD1E}"/>
    <cellStyle name="好_收益预测表1_收益法明细表20100506-李雪飞" xfId="3057" xr:uid="{2A39B224-3AF0-48D0-BD00-14D827FBC14E}"/>
    <cellStyle name="好_收益预测表1_收益法明细表20100506-李雪飞 2" xfId="3058" xr:uid="{C915429F-7D9B-4CEC-8AB8-2FC6EAC7FA99}"/>
    <cellStyle name="好_收益预测表1_收益法明细表20100506-李雪飞_Sheet1" xfId="3059" xr:uid="{CA7A49FA-C42A-4F6B-8A56-3841B4A458F6}"/>
    <cellStyle name="好_收益预测表1_收益法评估申报表(武汉燃料)2010-4-25" xfId="3060" xr:uid="{2DACDA53-65F8-40E9-98CD-DAB93B0F14F8}"/>
    <cellStyle name="好_收益预测表1_收益法评估申报表(武汉燃料)2010-4-26" xfId="3061" xr:uid="{AC7F600B-DE45-41D2-A348-151D89404C79}"/>
    <cellStyle name="好_收益预测表1_资本支出预测表" xfId="3062" xr:uid="{45D5C804-423D-48EE-B2DC-1D6A640A2F42}"/>
    <cellStyle name="好_收益预测表1_资本支出预测表 2" xfId="3063" xr:uid="{6D98BAD5-525F-4AF5-82F1-D5F70AC4257A}"/>
    <cellStyle name="好_收益预测表1_资本支出预测表_Sheet1" xfId="3064" xr:uid="{D11DA575-9419-429D-B7FB-5AB700C2DCEE}"/>
    <cellStyle name="好_收益预测表--成本" xfId="3065" xr:uid="{E6B9CE69-9A5B-40A2-B3A6-166AD3DB22F5}"/>
    <cellStyle name="好_收益预测表--成本 2" xfId="3066" xr:uid="{A47D71B1-CF4F-4A0B-B5FD-93F9056938E6}"/>
    <cellStyle name="好_收益预测表--成本_Sheet1" xfId="3067" xr:uid="{2F6E0B35-E514-47F3-990F-E5EC1EF8AA44}"/>
    <cellStyle name="好_收益预测表--成本_管理费用预测表" xfId="3068" xr:uid="{3A7ECD2D-92BA-4030-91E9-D2E842954F61}"/>
    <cellStyle name="好_收益预测表--成本_管理费用预测表 2" xfId="3069" xr:uid="{05969E84-FD7E-42B1-B918-7320EC0BF385}"/>
    <cellStyle name="好_收益预测表--成本_管理费用预测表_Sheet1" xfId="3070" xr:uid="{C24BB667-6A60-4099-BA10-6CA0F09F8874}"/>
    <cellStyle name="好_收益预测表--成本_收益法明细表20100506-李雪飞" xfId="3071" xr:uid="{322E1D61-2DEB-4814-AB40-424B94DFABCF}"/>
    <cellStyle name="好_收益预测表--成本_收益法明细表20100506-李雪飞 2" xfId="3072" xr:uid="{F5D0DBD9-13FA-41B0-B2A7-C81F4FD241F6}"/>
    <cellStyle name="好_收益预测表--成本_收益法明细表20100506-李雪飞_Sheet1" xfId="3073" xr:uid="{685A00E5-ACFE-4BD6-9B00-07906D874119}"/>
    <cellStyle name="好_收益预测表--成本_收益法评估申报表(武汉燃料)2010-4-25" xfId="3074" xr:uid="{CEBB6860-4AF4-40BA-BFEB-01BA8206FD80}"/>
    <cellStyle name="好_收益预测表--成本_收益法评估申报表(武汉燃料)2010-4-26" xfId="3075" xr:uid="{BE804CE6-EC06-43AE-85B1-8BD47F06BD03}"/>
    <cellStyle name="好_收益预测表--成本_资本支出预测表" xfId="3076" xr:uid="{B9752612-292B-445B-9B92-065E2375533E}"/>
    <cellStyle name="好_收益预测表--成本_资本支出预测表 2" xfId="3077" xr:uid="{BF7852CC-775B-470C-95AA-6DED87BD4C2D}"/>
    <cellStyle name="好_收益预测表--成本_资本支出预测表_Sheet1" xfId="3078" xr:uid="{05EBBC97-51F0-482D-897A-26C9CA893684}"/>
    <cellStyle name="好_首都航空模型-普华永道" xfId="3079" xr:uid="{39C3165C-119C-45F9-9D43-7C860E92EBAC}"/>
    <cellStyle name="好_首都航空模型-普华永道_3-收益法评估表" xfId="3080" xr:uid="{C26C4727-3BFE-4497-B16C-46612E90F9F2}"/>
    <cellStyle name="好_天津航空模型V1.34" xfId="3081" xr:uid="{970563E2-3060-4ACA-A765-1BFECFECFA1B}"/>
    <cellStyle name="好_天津航空模型V1.34_3-收益法评估表" xfId="3082" xr:uid="{80BE08CF-7208-47C9-9760-1187F9DA90F2}"/>
    <cellStyle name="好_往来款项函证结果汇总表" xfId="3083" xr:uid="{A3999C0A-0FFB-45CA-AF35-F9556E6DBF21}"/>
    <cellStyle name="好_无形资产" xfId="3084" xr:uid="{32A49A38-B05A-453C-ACB9-7ACF66661C13}"/>
    <cellStyle name="好_现金流表" xfId="3085" xr:uid="{EF7355A9-2F25-4901-BADB-1CC70D208DA3}"/>
    <cellStyle name="好_销售收入" xfId="3086" xr:uid="{B2E31B9B-ECB4-470A-990B-5D699F72AF90}"/>
    <cellStyle name="好_新华收益法申报表-制造业-复杂2" xfId="3087" xr:uid="{F13716D6-F60C-4AF8-87AF-278D3500A776}"/>
    <cellStyle name="好_银行函证结果汇总表" xfId="3088" xr:uid="{FE8B1960-56AC-4B7B-8320-46C5D27D9A85}"/>
    <cellStyle name="好_应付账款" xfId="3090" xr:uid="{6583DCED-D710-4872-8994-D3E5CA4A24F1}"/>
    <cellStyle name="好_应付账款_1" xfId="3091" xr:uid="{E96C19C0-084E-4BF8-8203-4F04421A95AE}"/>
    <cellStyle name="好_应收利息" xfId="3092" xr:uid="{73C915CC-09BF-4066-8A1C-343D844C442D}"/>
    <cellStyle name="好_应收账款" xfId="3093" xr:uid="{8783EE2F-A979-4CB3-918B-9F85EFBE2A12}"/>
    <cellStyle name="好_应收账款_1" xfId="3094" xr:uid="{A9BDEBC9-55D1-4499-B219-A6F14772B295}"/>
    <cellStyle name="好_营业收入" xfId="3089" xr:uid="{701D5D9B-0579-4611-AF6E-6CD21D655DFB}"/>
    <cellStyle name="好_永川火电收益法表20090228" xfId="3095" xr:uid="{58A0B0C1-8E91-4D29-8594-9302CE20A89D}"/>
    <cellStyle name="好_预付款项" xfId="3096" xr:uid="{D6397B01-9DB4-482A-A207-3CBEB238CC25}"/>
    <cellStyle name="好_预收款项" xfId="3097" xr:uid="{47AE0D0A-4FD9-483E-95A1-0E392F011D99}"/>
    <cellStyle name="好_折旧" xfId="3098" xr:uid="{B7F0CEE8-7973-429E-B337-A41A61E9F896}"/>
    <cellStyle name="好_折现率wind计算模型-火电模型" xfId="3099" xr:uid="{1FA6BAE4-435A-4F46-BA73-96299F90DDCE}"/>
    <cellStyle name="好_折现率wind计算模型-火电模型 2" xfId="3100" xr:uid="{7D2C2F94-F3B5-4E01-9522-C0D0879BCA6C}"/>
    <cellStyle name="好_折现率wind计算模型-火电模型_Sheet1" xfId="3101" xr:uid="{00A8C635-6EF3-4B4F-B254-F5BD7FFEDEA0}"/>
    <cellStyle name="好_折现率wind计算模型-新版" xfId="3102" xr:uid="{5FB32135-C741-4A02-93D3-471E58FDAAFB}"/>
    <cellStyle name="好_折现率wind计算模型-新版 2" xfId="3103" xr:uid="{9D6E0A8C-63E7-4C94-8722-FEB3C0D7F15D}"/>
    <cellStyle name="好_折现率wind计算模型-新版_Sheet1" xfId="3104" xr:uid="{FC7EAB88-25B9-41D9-A044-6227B2D5F343}"/>
    <cellStyle name="好_折现率wind计算模型-新版_电力企业收益法表格双辽发电厂" xfId="3105" xr:uid="{65DFB79B-8A3A-4247-8361-29B527DCC255}"/>
    <cellStyle name="好_折现率wind计算模型-新版_电力企业收益法表格双辽发电厂 2" xfId="3106" xr:uid="{0BB99774-E3AE-49CA-982F-1A49151675F4}"/>
    <cellStyle name="好_折现率wind计算模型-新版_电力企业收益法表格双辽发电厂_Sheet1" xfId="3107" xr:uid="{65F494F3-82DE-4F51-8DA1-3AC66DE24772}"/>
    <cellStyle name="好_折现率wind计算模型-新版_双鸭山收益法" xfId="3108" xr:uid="{7A62458D-BAF4-4C33-8392-4F372203747C}"/>
    <cellStyle name="好_折现率wind计算模型-新版_双鸭山收益法 2" xfId="3109" xr:uid="{40E691C1-7E2B-492D-A5CB-94223EEB1E08}"/>
    <cellStyle name="好_折现率wind计算模型-新版_双鸭山收益法_Sheet1" xfId="3110" xr:uid="{220C072E-7655-45BB-BACE-B424F4FD7EEA}"/>
    <cellStyle name="好_折现率计算模型" xfId="3111" xr:uid="{85097F58-E587-4555-9AF5-46790927E998}"/>
    <cellStyle name="好_折现率计算模型 2" xfId="3112" xr:uid="{C8DCD5F8-33D5-41BD-807D-66BB9DC45BC7}"/>
    <cellStyle name="好_折现率计算模型_Sheet1" xfId="3113" xr:uid="{9ADCF806-6327-463C-B5AA-BB8B69A75782}"/>
    <cellStyle name="好_折现率-数值版-航空" xfId="3114" xr:uid="{5EA928A6-F9DB-4E25-809E-DD85DD09A748}"/>
    <cellStyle name="好_折现率-数值版-航空_3-收益法评估表" xfId="3115" xr:uid="{6475C05D-6E36-4976-85CC-0794B10C7443}"/>
    <cellStyle name="好_制造业收益法模型表" xfId="3116" xr:uid="{A6AC00AC-3AE3-47F3-8055-26A03F6707BC}"/>
    <cellStyle name="好_制造业收益法模型表 2" xfId="3117" xr:uid="{58AD372B-26AC-41B1-9E96-0BDE8A623C2F}"/>
    <cellStyle name="好_制造业收益法模型表（财务2。7）" xfId="3118" xr:uid="{2BCC5B35-0E2B-4214-A177-A606784EDFF2}"/>
    <cellStyle name="好_制造业收益法模型表（财务2。7） 2" xfId="3119" xr:uid="{1DA94391-F35B-4460-A724-7B0004084D11}"/>
    <cellStyle name="好_制造业收益法模型表（财务2。7）_Sheet1" xfId="3120" xr:uid="{A80303D7-4CF8-4315-B85E-4F56C560B186}"/>
    <cellStyle name="好_制造业收益法模型表_Sheet1" xfId="3121" xr:uid="{C822C803-88D8-43EB-A135-1FA100E99A20}"/>
    <cellStyle name="好_中卫生物评估明细表(中卫2008)" xfId="3122" xr:uid="{E7A9805A-BAFF-4F9C-8C87-BE9DD89DFD0B}"/>
    <cellStyle name="好_中卫生物评估明细表(中卫2008) 2" xfId="3123" xr:uid="{BD1E2E62-C11F-4F4A-BC3D-7C0B25F50DDD}"/>
    <cellStyle name="好_中卫生物评估明细表(中卫2008)_Sheet1" xfId="3124" xr:uid="{18115036-0BD0-4DE4-AC5D-D663A7F87930}"/>
    <cellStyle name="好_中卫生物评估明细表(中卫2008)_电力企业收益法表格双辽发电厂" xfId="3125" xr:uid="{3F9952D7-4B03-468B-8553-B55BBAC0EEAC}"/>
    <cellStyle name="好_中卫生物评估明细表(中卫2008)_电力企业收益法表格双辽发电厂 2" xfId="3126" xr:uid="{BE9415E1-4C2B-4E6B-AA31-6580B39B5285}"/>
    <cellStyle name="好_中卫生物评估明细表(中卫2008)_电力企业收益法表格双辽发电厂_Sheet1" xfId="3127" xr:uid="{06BBD70A-C9BF-4F61-A1E3-F2E48506D5E1}"/>
    <cellStyle name="好_中卫生物评估明细表(中卫2008)_管理费用预测表" xfId="3128" xr:uid="{2E33C5DD-C105-4461-A974-4DFDE5E2A086}"/>
    <cellStyle name="好_中卫生物评估明细表(中卫2008)_管理费用预测表 2" xfId="3129" xr:uid="{BCAD1AEB-BB0E-48AA-A5A0-E4D38F22447F}"/>
    <cellStyle name="好_中卫生物评估明细表(中卫2008)_管理费用预测表_Sheet1" xfId="3130" xr:uid="{06EE4B3C-8749-4E8E-83EA-3335504C8010}"/>
    <cellStyle name="好_中卫生物评估明细表(中卫2008)_收益法明细表20100506-李雪飞" xfId="3131" xr:uid="{2B6F1BDE-264E-4C8E-B8D5-5FEAA1817B73}"/>
    <cellStyle name="好_中卫生物评估明细表(中卫2008)_收益法明细表20100506-李雪飞 2" xfId="3132" xr:uid="{969FC4B6-CE2B-4600-8796-4D718925A3B5}"/>
    <cellStyle name="好_中卫生物评估明细表(中卫2008)_收益法明细表20100506-李雪飞_Sheet1" xfId="3133" xr:uid="{0C30454E-62C5-490A-B502-B30C01773575}"/>
    <cellStyle name="好_中卫生物评估明细表(中卫2008)_收益法评估申报表(武汉燃料)2010-4-25" xfId="3134" xr:uid="{F1AC8903-AFE1-490E-BCD0-9E3F8F1BF2D3}"/>
    <cellStyle name="好_中卫生物评估明细表(中卫2008)_收益法评估申报表(武汉燃料)2010-4-26" xfId="3135" xr:uid="{ED7070EB-CFF6-43AA-9B7C-E19965DBE638}"/>
    <cellStyle name="好_中卫生物评估明细表(中卫2008)_双鸭山收益法" xfId="3136" xr:uid="{6E61D356-3C3B-4312-8E5E-96A7373AFE82}"/>
    <cellStyle name="好_中卫生物评估明细表(中卫2008)_双鸭山收益法 2" xfId="3137" xr:uid="{1A2EB640-4315-4B8D-8DD9-C30CD07F3A77}"/>
    <cellStyle name="好_中卫生物评估明细表(中卫2008)_双鸭山收益法_Sheet1" xfId="3138" xr:uid="{928CF394-9F02-41A0-B49E-156D9700B3AA}"/>
    <cellStyle name="好_中卫生物评估明细表(中卫2008)_资本支出预测表" xfId="3139" xr:uid="{1B07D24F-AF3B-428A-ABAB-C2AB9E86C3A8}"/>
    <cellStyle name="好_中卫生物评估明细表(中卫2008)_资本支出预测表 2" xfId="3140" xr:uid="{A5C749C6-75B0-4B7B-8C65-26130064465B}"/>
    <cellStyle name="好_中卫生物评估明细表(中卫2008)_资本支出预测表_Sheet1" xfId="3141" xr:uid="{B8C940F4-E667-4F1F-8EE3-BE418B08E5EE}"/>
    <cellStyle name="好_专项应付款" xfId="3142" xr:uid="{A907B399-D0F0-422D-8DDC-16C850CF595B}"/>
    <cellStyle name="好_资本支出预测表" xfId="3143" xr:uid="{D550BEF0-E71C-4669-B5C7-8C483D82B398}"/>
    <cellStyle name="好_资本支出预测表 2" xfId="3144" xr:uid="{349A4CD1-7F46-437B-876E-0668AF8640D0}"/>
    <cellStyle name="好_资本支出预测表_Sheet1" xfId="3145" xr:uid="{868FEDE5-E9DA-4CBD-B504-B0D8B643F444}"/>
    <cellStyle name="好_资产负债标准底稿" xfId="3146" xr:uid="{219BD3C6-C945-4978-8FBF-F63519AA7588}"/>
    <cellStyle name="好_资产负债标准底稿 2" xfId="3147" xr:uid="{D505210B-59FD-48D6-994B-15C0159E211E}"/>
    <cellStyle name="好_资产负债标准底稿_大信底稿目录" xfId="3148" xr:uid="{3D2CADC5-ECE2-4EEB-A40A-F25F8EA3D17C}"/>
    <cellStyle name="好_资产负债类底稿模版" xfId="3149" xr:uid="{75DCBEC9-7A90-46FD-89A7-F2FF63EC8209}"/>
    <cellStyle name="好_资产负债类底稿模版 2" xfId="3150" xr:uid="{163B0B92-9188-46CE-9850-6354368C7E71}"/>
    <cellStyle name="好_资产负债类底稿模版_大信底稿目录" xfId="3151" xr:uid="{85894CA4-0777-4688-9775-1D2BC0590E39}"/>
    <cellStyle name="好_资产减值损失" xfId="3152" xr:uid="{0CB69535-64B5-4533-97B7-8CAAFBCB758F}"/>
    <cellStyle name="好_资产评估申报表-收益法-天仪本部-0525" xfId="3153" xr:uid="{908C9366-2C07-49CA-BB78-88ACABC78137}"/>
    <cellStyle name="合計" xfId="3154" xr:uid="{6BC1774B-4EC8-4173-8A49-5D671A526D11}"/>
    <cellStyle name="桁区切り [0.00]_１１月価格表" xfId="3155" xr:uid="{FA3AED8F-E3E6-49FF-B787-94249833CD9D}"/>
    <cellStyle name="桁区切り_１１月価格表" xfId="3156" xr:uid="{3F82F27B-F4BC-431F-A12C-D6CF10023952}"/>
    <cellStyle name="桁蟻唇Ｆ [0.00]_Attachment 2 (2)" xfId="3157" xr:uid="{0B71B337-38CA-412C-B42C-87A3A0C599EC}"/>
    <cellStyle name="桁蟻唇Ｆ_Attachment 2 (2)" xfId="3158" xr:uid="{393E6F26-D017-4E8D-9113-E8D1A78A9319}"/>
    <cellStyle name="后继超级链接_cashflow" xfId="3159" xr:uid="{C217297E-BB49-45D7-AE64-BC4DB722888A}"/>
    <cellStyle name="壞" xfId="3160" xr:uid="{191936EA-FF0F-4BB8-B4CF-9E74E36EEF0C}"/>
    <cellStyle name="汇总 2" xfId="3161" xr:uid="{EB09BD84-45D6-4D43-92AE-8D113001C215}"/>
    <cellStyle name="汇总 2 2" xfId="3162" xr:uid="{9A9DCFE2-FCA9-4A6F-A211-A2801BC58210}"/>
    <cellStyle name="汇总 2_Sheet1" xfId="3163" xr:uid="{3CF4DD2E-99A7-41CA-8DA1-F8C19789C856}"/>
    <cellStyle name="汇总 3" xfId="3164" xr:uid="{4D9E3560-4003-45BD-8306-ECDB59CB4D10}"/>
    <cellStyle name="汇总 4" xfId="3165" xr:uid="{0D68A87D-AC82-404C-814D-81D57A7D1783}"/>
    <cellStyle name="汇总 5" xfId="3166" xr:uid="{00DE0091-6A26-433D-9AD3-D8CFBE295311}"/>
    <cellStyle name="汇总 6" xfId="3167" xr:uid="{23BE967B-C09E-4900-A35F-84794E94E948}"/>
    <cellStyle name="汇总 7" xfId="3168" xr:uid="{81E5E86B-0308-4EB7-A651-D23953CA15D1}"/>
    <cellStyle name="货币 2" xfId="3169" xr:uid="{984167BE-C600-4B42-B703-20770E8A9A59}"/>
    <cellStyle name="货币 3" xfId="3170" xr:uid="{4555FDD5-9FDB-4A16-B1F6-B0795BED585C}"/>
    <cellStyle name="货币 3 2" xfId="3171" xr:uid="{A8E66166-A09E-49F2-9CFA-BD13F9CE25A3}"/>
    <cellStyle name="货币 3_Sheet1" xfId="3172" xr:uid="{044D4DC0-21D5-4591-B290-D82B9D8BA78B}"/>
    <cellStyle name="貨幣 [0]_Northlrp2_Hondy" xfId="3173" xr:uid="{8F374D6F-100D-4F2B-ADA7-A7A43980F3A4}"/>
    <cellStyle name="貨幣_Northlrp2_Hondy" xfId="3174" xr:uid="{E4D75002-C5CC-45B1-BC91-1B61E0C735C1}"/>
    <cellStyle name="计算 2" xfId="3175" xr:uid="{D0A1564C-1A6F-4F04-ABE1-32CFD3F55D2D}"/>
    <cellStyle name="计算 2 2" xfId="3176" xr:uid="{8549B9DE-591E-4F7A-9885-27E46882BAC3}"/>
    <cellStyle name="计算 2_Sheet1" xfId="3177" xr:uid="{89178EAB-53C2-42CB-97C9-C22E05E81283}"/>
    <cellStyle name="计算 3" xfId="3178" xr:uid="{F74043FA-6805-4021-B61C-F528593AD4B1}"/>
    <cellStyle name="计算 4" xfId="3179" xr:uid="{95B4889B-B042-4B1A-8F30-B19DD2A21D67}"/>
    <cellStyle name="计算 5" xfId="3180" xr:uid="{1F53392E-1848-483A-8DD7-727CD613D475}"/>
    <cellStyle name="计算 6" xfId="3181" xr:uid="{0C49BB8F-7A54-43CA-B2D5-83ABC7016E7E}"/>
    <cellStyle name="计算 7" xfId="3182" xr:uid="{8FE00802-530F-4483-B9F7-2DF5F1B335E3}"/>
    <cellStyle name="計算方式" xfId="3183" xr:uid="{66263034-F816-4B9E-B6D9-98592B48A0A6}"/>
    <cellStyle name="检查单元格 2" xfId="3184" xr:uid="{08D7FE5B-1416-4A4B-9E7F-F32902545C3C}"/>
    <cellStyle name="检查单元格 2 2" xfId="3185" xr:uid="{C7D2105E-0ED6-4BE9-A05D-D988BECD825C}"/>
    <cellStyle name="检查单元格 2_Sheet1" xfId="3186" xr:uid="{36585575-A73C-4FEE-8F60-5667349A4E66}"/>
    <cellStyle name="检查单元格 3" xfId="3187" xr:uid="{D14FBDBA-A235-401F-AA82-9232BB19A057}"/>
    <cellStyle name="检查单元格 4" xfId="3188" xr:uid="{A883285A-8326-42F0-9BDF-6CC2CDC36D68}"/>
    <cellStyle name="检查单元格 5" xfId="3189" xr:uid="{6D0B664D-FBA9-4BC1-B587-32166605BF6B}"/>
    <cellStyle name="检查单元格 6" xfId="3190" xr:uid="{2187D6DD-5920-4A51-8AE5-1B2BE032512E}"/>
    <cellStyle name="檢查儲存格" xfId="3191" xr:uid="{5217743E-0BAE-409B-9A8C-9BB5CD291824}"/>
    <cellStyle name="解释性文本 2" xfId="3192" xr:uid="{CDADC581-CCC6-412F-A442-831CB250E4B6}"/>
    <cellStyle name="解释性文本 2 2" xfId="3193" xr:uid="{C4C7C2A4-FB98-4000-BC3B-44307440159E}"/>
    <cellStyle name="解释性文本 2_Sheet1" xfId="3194" xr:uid="{3798A6FE-35A0-4D77-8C0F-CB0347E9547C}"/>
    <cellStyle name="解释性文本 3" xfId="3195" xr:uid="{325DC47D-144E-4C7F-9DEB-288AD97CE97C}"/>
    <cellStyle name="解释性文本 4" xfId="3196" xr:uid="{B477AC9A-CED8-4DC2-A4E3-FB3F16201B24}"/>
    <cellStyle name="解释性文本 5" xfId="3197" xr:uid="{FD89B9E3-D5A1-4494-A64B-8F68AC9489D3}"/>
    <cellStyle name="解释性文本 6" xfId="3198" xr:uid="{58D785DD-1ABD-46D0-AD90-6975A6114DA4}"/>
    <cellStyle name="警告文本 2" xfId="3199" xr:uid="{4A8DC58F-BFA9-45BF-95A2-EF4A6973338F}"/>
    <cellStyle name="警告文本 2 2" xfId="3200" xr:uid="{41B1D24C-824A-4A55-B99B-7EEF0A35705B}"/>
    <cellStyle name="警告文本 2_Sheet1" xfId="3201" xr:uid="{6F0D5FFD-88B2-4675-B739-3B5240004263}"/>
    <cellStyle name="警告文本 3" xfId="3202" xr:uid="{7B4356B1-511E-4408-A1F5-440BD3798051}"/>
    <cellStyle name="警告文本 4" xfId="3203" xr:uid="{AE80139B-8927-4CC7-8A59-745CF9C7860D}"/>
    <cellStyle name="警告文本 5" xfId="3204" xr:uid="{F8863BA5-2588-4476-BC4E-BDDDD1B305BC}"/>
    <cellStyle name="警告文本 6" xfId="3205" xr:uid="{ADF1F9BA-49E1-4E52-8E23-2BEDD14CA281}"/>
    <cellStyle name="警告文字" xfId="3206" xr:uid="{73B623EA-6578-4A60-B340-7786378D13F0}"/>
    <cellStyle name="連結的儲存格" xfId="3207" xr:uid="{DFFC4E67-5ECD-4DAE-AB78-C62E1BB452DB}"/>
    <cellStyle name="链接单元格 2" xfId="3208" xr:uid="{29AFADD2-DD17-488D-B341-335A45159822}"/>
    <cellStyle name="链接单元格 2 2" xfId="3209" xr:uid="{C74B2046-94F7-4A14-8A8D-4AEFBF4FDA97}"/>
    <cellStyle name="链接单元格 2_Sheet1" xfId="3210" xr:uid="{9998B0AB-B765-4F1C-8D2F-D977D4267B63}"/>
    <cellStyle name="链接单元格 3" xfId="3211" xr:uid="{5AC89682-C463-46C5-89BE-2F103289DC00}"/>
    <cellStyle name="链接单元格 4" xfId="3212" xr:uid="{7D13B6F6-8136-448D-90E9-99895DA745A6}"/>
    <cellStyle name="链接单元格 5" xfId="3213" xr:uid="{EE1D8315-457E-4D1D-8E08-D9C29C22AF70}"/>
    <cellStyle name="链接单元格 6" xfId="3214" xr:uid="{D211B8CE-1B82-4FD9-A593-F2326A871109}"/>
    <cellStyle name="链接单元格 7" xfId="3215" xr:uid="{87DE9DA8-DE73-43F7-AD7B-1F6F137C4B1A}"/>
    <cellStyle name="明细表" xfId="3216" xr:uid="{8EA35046-51A5-44D8-930A-24900FE4A12D}"/>
    <cellStyle name="霓付 [0]_1202" xfId="3217" xr:uid="{FD3ABD62-53AE-471D-8AC6-D1C1F4108DDA}"/>
    <cellStyle name="霓付_1202" xfId="3218" xr:uid="{866E1AFF-5EC6-4E29-A8E4-21EBA70E467A}"/>
    <cellStyle name="烹拳 [0]_1202" xfId="3219" xr:uid="{EA81C0EF-3C60-409B-937E-F16CF8C2685B}"/>
    <cellStyle name="烹拳_1202" xfId="3220" xr:uid="{C5D9F9E2-B335-4B8D-B35D-F8ABD2F88F6B}"/>
    <cellStyle name="砯刽 [0]_PLDT" xfId="3221" xr:uid="{4DD55B1A-257D-43DD-9396-0D3075B75472}"/>
    <cellStyle name="砯刽_PLDT" xfId="3222" xr:uid="{14F207E7-E0B7-4E41-A584-9B144B1611BB}"/>
    <cellStyle name="普通_ 白土" xfId="3223" xr:uid="{C2F947D3-4527-4D54-8F4D-B3C77BFB1927}"/>
    <cellStyle name="千分位[0]" xfId="3224" xr:uid="{E3E9F396-0354-42DA-8290-06213778B9FD}"/>
    <cellStyle name="千分位_ 白土" xfId="3225" xr:uid="{1EDEFE46-CF2D-4850-AE7D-C691CBE7F959}"/>
    <cellStyle name="千位[0]_ 方正PC" xfId="3226" xr:uid="{75ED044B-968E-4B12-87A8-A724A3084F28}"/>
    <cellStyle name="千位_ 方正PC" xfId="3227" xr:uid="{98638990-0E43-48C0-94B2-223B5C638840}"/>
    <cellStyle name="千位分隔" xfId="1" builtinId="3"/>
    <cellStyle name="千位分隔 10" xfId="3229" xr:uid="{42CD8386-F741-4067-ABB0-971466EB74F2}"/>
    <cellStyle name="千位分隔 10 2" xfId="3230" xr:uid="{A831E2BE-97C3-4AF3-B12E-62EA93681625}"/>
    <cellStyle name="千位分隔 11" xfId="3231" xr:uid="{BF582D74-B65E-4821-8980-332401699D89}"/>
    <cellStyle name="千位分隔 11 2" xfId="3232" xr:uid="{A4B457D0-B0AB-4F0D-84EF-918B42B1378E}"/>
    <cellStyle name="千位分隔 11 3" xfId="3233" xr:uid="{B1F0A3C4-98D5-414A-928F-45744F96DE6B}"/>
    <cellStyle name="千位分隔 11_Sheet1" xfId="3234" xr:uid="{0954CC52-C895-41AC-819C-10F6F36DC28B}"/>
    <cellStyle name="千位分隔 12" xfId="3235" xr:uid="{48F02538-185E-4ABD-A64D-E2D3FB37C1E8}"/>
    <cellStyle name="千位分隔 13" xfId="3236" xr:uid="{3930C88E-6A2F-47F6-A4FC-91BFAFC06572}"/>
    <cellStyle name="千位分隔 14" xfId="3237" xr:uid="{592EBD60-9813-4B1C-920C-7875E26D85C2}"/>
    <cellStyle name="千位分隔 15" xfId="3238" xr:uid="{90DDC544-6004-4DCB-86D1-70FCDD0C6375}"/>
    <cellStyle name="千位分隔 15 2" xfId="3239" xr:uid="{AC4B9694-9648-4B07-A8FD-E10BB5803821}"/>
    <cellStyle name="千位分隔 15_Sheet1" xfId="3240" xr:uid="{F1713E75-3450-4ECD-A1AA-9B58B11B612C}"/>
    <cellStyle name="千位分隔 16" xfId="3241" xr:uid="{DC7AC826-34AE-4644-93D0-9B7C4D06EE53}"/>
    <cellStyle name="千位分隔 17" xfId="3242" xr:uid="{E8E35094-A253-4203-9D3A-982AFC133F97}"/>
    <cellStyle name="千位分隔 18" xfId="3243" xr:uid="{78B1C5C1-70B5-4BCF-B395-6211D5A7E574}"/>
    <cellStyle name="千位分隔 19" xfId="3244" xr:uid="{0083A445-24F2-4DD2-845E-B5F154D3EF36}"/>
    <cellStyle name="千位分隔 2" xfId="5" xr:uid="{00000000-0005-0000-0000-00000C000000}"/>
    <cellStyle name="千位分隔 2 10" xfId="3246" xr:uid="{0A3459F3-DFC6-4E8D-A399-964D4855D083}"/>
    <cellStyle name="千位分隔 2 11" xfId="3247" xr:uid="{27C1DEED-591C-411B-A748-708BE40D813A}"/>
    <cellStyle name="千位分隔 2 12" xfId="3248" xr:uid="{70386931-E5BE-4622-97ED-A2C28FAFF4C3}"/>
    <cellStyle name="千位分隔 2 13" xfId="3249" xr:uid="{53FAEBBE-5716-4E64-836D-FD82B5D2DB2A}"/>
    <cellStyle name="千位分隔 2 14" xfId="3250" xr:uid="{4E114164-5AA0-44E8-A46C-453BDFD2B93B}"/>
    <cellStyle name="千位分隔 2 15" xfId="3251" xr:uid="{BD438406-18D4-4367-A3FB-4D4344D0FB75}"/>
    <cellStyle name="千位分隔 2 16" xfId="3252" xr:uid="{B6870E1A-2B24-44E5-9F8C-C5D710AC1500}"/>
    <cellStyle name="千位分隔 2 17" xfId="3253" xr:uid="{64632F98-E9B3-4DD2-972A-1C5C39E938C6}"/>
    <cellStyle name="千位分隔 2 18" xfId="3254" xr:uid="{4E8DEBD5-BAF8-4568-8521-061D2CBA2616}"/>
    <cellStyle name="千位分隔 2 19" xfId="3255" xr:uid="{A917F960-02AB-4C92-AB4F-A20D45174832}"/>
    <cellStyle name="千位分隔 2 2" xfId="3256" xr:uid="{E1CDF577-5A4E-45AB-B876-6F5E96A20BB9}"/>
    <cellStyle name="千位分隔 2 2 2" xfId="3257" xr:uid="{BB9A9C0D-5FDC-4CC2-AEFB-B80998219911}"/>
    <cellStyle name="千位分隔 2 2 2 2" xfId="3258" xr:uid="{36987663-6687-4F03-927F-67FFA4C30BE0}"/>
    <cellStyle name="千位分隔 2 2 3" xfId="3259" xr:uid="{25D8CEF6-2102-47B4-A476-668DF1C50C7D}"/>
    <cellStyle name="千位分隔 2 2 3 2" xfId="3260" xr:uid="{41491FEB-8399-4ADF-8E52-C0F8AF722567}"/>
    <cellStyle name="千位分隔 2 2 4" xfId="3261" xr:uid="{9074E4DC-72C2-4317-89C0-29C2CB9E01A5}"/>
    <cellStyle name="千位分隔 2 2 5" xfId="3262" xr:uid="{75A2BE2A-25F4-4306-A2A0-D4DBBBDA8B66}"/>
    <cellStyle name="千位分隔 2 2 6" xfId="3263" xr:uid="{4884A476-1EA6-4DC5-9515-4196027CF6BB}"/>
    <cellStyle name="千位分隔 2 2 7" xfId="3264" xr:uid="{F0676ACF-730B-4639-BC3B-95489E41BB80}"/>
    <cellStyle name="千位分隔 2 20" xfId="3265" xr:uid="{B78B2F5B-DE1A-4735-819B-9652A6DA03D0}"/>
    <cellStyle name="千位分隔 2 21" xfId="3266" xr:uid="{3C33B767-F677-4B03-99E0-1F2F6C3E0CB9}"/>
    <cellStyle name="千位分隔 2 22" xfId="3267" xr:uid="{D4E191DD-5BCD-4FE3-8FEF-C0E7BB7FD122}"/>
    <cellStyle name="千位分隔 2 23" xfId="3268" xr:uid="{6022D389-0EA0-4270-BD9B-762C613E876F}"/>
    <cellStyle name="千位分隔 2 24" xfId="3269" xr:uid="{EC77F3AB-0243-414F-95E0-688D4797EBAD}"/>
    <cellStyle name="千位分隔 2 25" xfId="3270" xr:uid="{717DE7E6-FE35-4B48-9944-553A21D97313}"/>
    <cellStyle name="千位分隔 2 26" xfId="3271" xr:uid="{4BA55F2A-815C-4534-84CD-DEA1BDDD0986}"/>
    <cellStyle name="千位分隔 2 27" xfId="3272" xr:uid="{0EB27E00-A5E3-4590-8B33-99E033D01587}"/>
    <cellStyle name="千位分隔 2 28" xfId="3273" xr:uid="{C917710B-AA29-45E9-BD49-21B54103A43C}"/>
    <cellStyle name="千位分隔 2 29" xfId="3274" xr:uid="{8EB44771-E66A-4A98-94FA-03E2C2C0BAC4}"/>
    <cellStyle name="千位分隔 2 3" xfId="3275" xr:uid="{F3AF9685-F8A0-4DA0-A492-A812CCAAEB7D}"/>
    <cellStyle name="千位分隔 2 3 2" xfId="3276" xr:uid="{0D0C2CF4-DD88-4682-BD97-BEEE124BAEC3}"/>
    <cellStyle name="千位分隔 2 3 3" xfId="3277" xr:uid="{797B0E65-62AE-4170-AF15-A78A01F00D48}"/>
    <cellStyle name="千位分隔 2 30" xfId="3278" xr:uid="{F1003991-4601-42B8-B240-6DA2F627640E}"/>
    <cellStyle name="千位分隔 2 31" xfId="3279" xr:uid="{5FDCFF5A-E348-4A54-AEFD-18EFE36CC820}"/>
    <cellStyle name="千位分隔 2 32" xfId="3280" xr:uid="{4EA47FCE-E171-417D-8D6C-387766FB9DF5}"/>
    <cellStyle name="千位分隔 2 33" xfId="3245" xr:uid="{E144C8FE-D2E8-46A7-A2FF-C00036F56DD9}"/>
    <cellStyle name="千位分隔 2 4" xfId="3281" xr:uid="{E3D03C26-7A87-4B4C-B223-CC4FC01A1BFD}"/>
    <cellStyle name="千位分隔 2 4 2" xfId="3282" xr:uid="{927E1AD0-C98C-4060-A2FC-20E1EFAFE24E}"/>
    <cellStyle name="千位分隔 2 5" xfId="3283" xr:uid="{F910D1EB-66BF-44BF-8CA5-708D8F9B8211}"/>
    <cellStyle name="千位分隔 2 5 2" xfId="3284" xr:uid="{E194F31E-4AE0-472D-8882-B470933CA899}"/>
    <cellStyle name="千位分隔 2 6" xfId="3285" xr:uid="{2BB6A552-B3BF-4800-9DFF-4FD8798C5B77}"/>
    <cellStyle name="千位分隔 2 6 2" xfId="3286" xr:uid="{1F1714AE-F22B-4843-9345-990C22ED8558}"/>
    <cellStyle name="千位分隔 2 7" xfId="3287" xr:uid="{2C68499F-0898-4659-81DD-A7DC2358E056}"/>
    <cellStyle name="千位分隔 2 7 2" xfId="3288" xr:uid="{CDF74A03-344B-49C2-A79D-18A6B046CB62}"/>
    <cellStyle name="千位分隔 2 8" xfId="3289" xr:uid="{31D3D1E4-DEFD-469D-808E-8139CE7230D8}"/>
    <cellStyle name="千位分隔 2 9" xfId="3290" xr:uid="{82470CD6-101A-41F7-BF7D-2F91B1616D15}"/>
    <cellStyle name="千位分隔 20" xfId="3291" xr:uid="{C522F326-711A-47FC-8BFF-965ABB61612A}"/>
    <cellStyle name="千位分隔 21" xfId="3292" xr:uid="{5259D88A-99DA-4C3F-BD5B-EA8EA6CC1822}"/>
    <cellStyle name="千位分隔 22" xfId="3293" xr:uid="{E1F9BF7B-6712-45B7-884A-313CA53D8FB6}"/>
    <cellStyle name="千位分隔 23" xfId="3294" xr:uid="{61384006-12AD-4B52-9CEC-11954F7D70A1}"/>
    <cellStyle name="千位分隔 24" xfId="3295" xr:uid="{F57CEEDB-81E2-4DCC-A4E7-A57C07CADE2E}"/>
    <cellStyle name="千位分隔 25" xfId="3296" xr:uid="{94328B19-733B-494C-B23E-49FBDDE86940}"/>
    <cellStyle name="千位分隔 26" xfId="3297" xr:uid="{78B85EAA-62B1-441C-AB26-52343D8FF8FA}"/>
    <cellStyle name="千位分隔 27" xfId="3298" xr:uid="{0C2AF69D-45BF-46F7-854B-531DF1C1E3B2}"/>
    <cellStyle name="千位分隔 28" xfId="3299" xr:uid="{982B5BB1-7DC2-4393-9BD1-BA4396B1E666}"/>
    <cellStyle name="千位分隔 29" xfId="3300" xr:uid="{CA7745B0-8A61-4696-B6CD-84E4A7A3EA4E}"/>
    <cellStyle name="千位分隔 3" xfId="9" xr:uid="{00000000-0005-0000-0000-00000D000000}"/>
    <cellStyle name="千位分隔 3 2" xfId="3302" xr:uid="{8855109F-2F8D-43A9-A791-D3ECBC13F1AD}"/>
    <cellStyle name="千位分隔 3 2 2" xfId="3303" xr:uid="{F26F264A-4FCA-4322-9C7D-EFFFF54046D9}"/>
    <cellStyle name="千位分隔 3 2 2 2" xfId="3304" xr:uid="{CCB30C12-BA2C-447B-BB2D-6E85AF41BB1D}"/>
    <cellStyle name="千位分隔 3 2 2 2 2" xfId="3305" xr:uid="{6FF8CF38-8D72-4FC5-A200-1F42C57D6320}"/>
    <cellStyle name="千位分隔 3 2 2 3" xfId="3306" xr:uid="{0184DDAC-9ADE-4D3D-AAD6-BA376B41837A}"/>
    <cellStyle name="千位分隔 3 2 2 4" xfId="3307" xr:uid="{6FEE127A-E4F7-47FC-8B7D-8A127467527A}"/>
    <cellStyle name="千位分隔 3 2 3" xfId="3308" xr:uid="{7EE62CCF-22C3-48BA-AD07-837CA4913499}"/>
    <cellStyle name="千位分隔 3 2 4" xfId="3309" xr:uid="{3F987B53-5922-4CE9-956A-E17297524813}"/>
    <cellStyle name="千位分隔 3 2 5" xfId="3310" xr:uid="{DEA554AF-ED42-42A7-B303-9957739F9A37}"/>
    <cellStyle name="千位分隔 3 2 6" xfId="3311" xr:uid="{65A29F2D-EB75-4A72-B7A9-55D1AD441CFD}"/>
    <cellStyle name="千位分隔 3 3" xfId="3312" xr:uid="{9485B357-7486-4E55-8058-3B814D02D3B9}"/>
    <cellStyle name="千位分隔 3 3 2" xfId="3313" xr:uid="{56223415-1D5E-42E1-BAA8-D87511FEC813}"/>
    <cellStyle name="千位分隔 3 4" xfId="3314" xr:uid="{DB80EA23-1998-4D40-9187-D0369707D1C3}"/>
    <cellStyle name="千位分隔 3 5" xfId="3315" xr:uid="{8871C9F3-CCBF-4632-98C6-2B3B5EE68563}"/>
    <cellStyle name="千位分隔 3 6" xfId="3316" xr:uid="{9B832A18-60AA-4541-B70F-97A0AA6FFF72}"/>
    <cellStyle name="千位分隔 3 7" xfId="3317" xr:uid="{B544CF8D-00E4-4D5A-816B-FC8D60161E4F}"/>
    <cellStyle name="千位分隔 3 8" xfId="3301" xr:uid="{F20B594A-8C90-4256-9C25-37AA8DB0EFE2}"/>
    <cellStyle name="千位分隔 30" xfId="3228" xr:uid="{4E710EEB-EB28-4EA3-B3DF-89569FE9293E}"/>
    <cellStyle name="千位分隔 4" xfId="7" xr:uid="{00000000-0005-0000-0000-00000E000000}"/>
    <cellStyle name="千位分隔 4 2" xfId="3319" xr:uid="{16DB6551-B5D5-4319-95D1-FBE3CFE07D8E}"/>
    <cellStyle name="千位分隔 4 2 2" xfId="3320" xr:uid="{1F39AFF6-D44B-470F-909E-78338D919FF6}"/>
    <cellStyle name="千位分隔 4 3" xfId="3321" xr:uid="{2EE9F52B-24BC-4B8A-AAB3-91352B6D6082}"/>
    <cellStyle name="千位分隔 4 4" xfId="3322" xr:uid="{AD01CDCC-4674-47F0-946D-F33ED7B90FF6}"/>
    <cellStyle name="千位分隔 4 5" xfId="3318" xr:uid="{08A25DCC-A82B-4945-AF3F-D476B3DFE297}"/>
    <cellStyle name="千位分隔 4_永川火电收益法表20090228" xfId="3323" xr:uid="{8D479BA1-BCE8-4952-BB21-2796E21E398D}"/>
    <cellStyle name="千位分隔 5" xfId="3324" xr:uid="{98D280B0-993F-4B59-B790-6F1E13A743EB}"/>
    <cellStyle name="千位分隔 5 2" xfId="3325" xr:uid="{AFC35E18-3D77-4432-8A5A-5AD47AE364E6}"/>
    <cellStyle name="千位分隔 5 3" xfId="3326" xr:uid="{1B865040-2EA2-4E5D-90D5-8DC9695C9ECC}"/>
    <cellStyle name="千位分隔 5 4" xfId="3327" xr:uid="{FFF7652B-33F3-4BC2-9372-881A17E2977B}"/>
    <cellStyle name="千位分隔 6" xfId="3328" xr:uid="{F2E2C609-E0BB-4082-9FC2-3FF4B99AE733}"/>
    <cellStyle name="千位分隔 6 2" xfId="3329" xr:uid="{674C561D-5FAD-4DEA-BB72-EE9F3B23A4E2}"/>
    <cellStyle name="千位分隔 6 2 2" xfId="3330" xr:uid="{2EBB8F56-7DBD-4018-9D39-DD741D467937}"/>
    <cellStyle name="千位分隔 6 3" xfId="3331" xr:uid="{924D0CD0-0404-4F51-8392-44E728CAB9A7}"/>
    <cellStyle name="千位分隔 6 4" xfId="3332" xr:uid="{A82D7366-D488-4CFE-9E77-205F73B920C6}"/>
    <cellStyle name="千位分隔 7" xfId="3333" xr:uid="{9389167D-7E84-4E03-BAAF-562C682D6BE5}"/>
    <cellStyle name="千位分隔 7 2" xfId="3334" xr:uid="{A3879276-8584-46C5-A428-7D8E76FC2782}"/>
    <cellStyle name="千位分隔 7_Sheet1" xfId="3335" xr:uid="{634AEAC9-7B2B-4EA7-B712-21B5179122BD}"/>
    <cellStyle name="千位分隔 8" xfId="3336" xr:uid="{A32FD539-DA4B-4D74-9467-C633B855B23C}"/>
    <cellStyle name="千位分隔 8 2" xfId="3337" xr:uid="{36943142-5E27-465D-8251-4EBD97331AEA}"/>
    <cellStyle name="千位分隔 8_Sheet1" xfId="3338" xr:uid="{FA761ADE-5165-41EB-917F-B243A8606CA9}"/>
    <cellStyle name="千位分隔 9" xfId="3339" xr:uid="{59B2FFDF-672A-4C1B-B833-750F587054B2}"/>
    <cellStyle name="千位分隔 9 2" xfId="3340" xr:uid="{1D1A409A-1EB5-42E1-A458-839FFBE93D2A}"/>
    <cellStyle name="千位分隔 9_Sheet1" xfId="3341" xr:uid="{3D760292-0121-458F-9111-63CF66345CD3}"/>
    <cellStyle name="千位分隔[0] 2" xfId="3342" xr:uid="{3776A5E2-842D-47D5-B89A-01CEC32C9791}"/>
    <cellStyle name="千位分隔[0] 2 2" xfId="3343" xr:uid="{74AFF16B-80F4-431E-949F-DCE986B94BFA}"/>
    <cellStyle name="千位分隔[0] 2 3" xfId="3344" xr:uid="{D4795CA7-3DBC-46D7-B1BA-32E6AA5E3ACC}"/>
    <cellStyle name="千位分隔[0] 2 4" xfId="3345" xr:uid="{A3A1DC8E-1BDF-442D-83AD-5677400A363D}"/>
    <cellStyle name="千位分隔[0] 2 5" xfId="3346" xr:uid="{A1165CE0-8DED-4021-A067-7617DC323E0E}"/>
    <cellStyle name="千位分隔[0] 2 6" xfId="3347" xr:uid="{63BBF929-4C8A-4331-B691-03B7A9A87D3A}"/>
    <cellStyle name="千位分隔[0] 2 7" xfId="3348" xr:uid="{9D989EF9-F917-4F7C-A69F-6E753AB6745F}"/>
    <cellStyle name="千位分隔[0] 3" xfId="3349" xr:uid="{CFA196B4-DB7F-454C-A208-27F1DEF44698}"/>
    <cellStyle name="千位分隔[0] 3 2" xfId="3350" xr:uid="{889F0288-BB1A-4849-AF47-614E9B3319C5}"/>
    <cellStyle name="千位分隔[0] 3 3" xfId="3351" xr:uid="{CF85E2AF-31DF-4407-8317-2CD811CF3089}"/>
    <cellStyle name="千位分隔[0] 3 4" xfId="3352" xr:uid="{D632B345-0A89-4E5B-A2A7-12D425C81876}"/>
    <cellStyle name="千位分隔[0] 4" xfId="3353" xr:uid="{6F8D3E14-0BDA-463D-BFAB-BB9040334744}"/>
    <cellStyle name="千位分隔[0] 5" xfId="3354" xr:uid="{2DACE35C-359A-42F9-AA84-A5533C6BA67D}"/>
    <cellStyle name="千位分隔[0] 6" xfId="3355" xr:uid="{0E3150C4-F9E4-4905-BD5E-E10EE1359615}"/>
    <cellStyle name="千位分隔[0] 7" xfId="3356" xr:uid="{CEF39612-2851-40E3-9983-99B9C44BF6BE}"/>
    <cellStyle name="钎霖_(沥焊何巩)岿喊牢盔拌裙" xfId="3357" xr:uid="{595153C2-2C94-4D22-B359-3C13A91AA433}"/>
    <cellStyle name="强调 1" xfId="3358" xr:uid="{72DA1BEA-F224-4185-902B-2D6EB1CD495C}"/>
    <cellStyle name="强调 1 2" xfId="3359" xr:uid="{C28F0927-8D41-46A0-8FFE-5B9CFAE891C3}"/>
    <cellStyle name="强调 1 3" xfId="3360" xr:uid="{8E7E837B-07C8-4373-8F24-A78D9D532687}"/>
    <cellStyle name="强调 1_收益法明细表20100506-李雪飞" xfId="3361" xr:uid="{518FE2EB-DDFC-4ECD-9101-013F1B076E1F}"/>
    <cellStyle name="强调 2" xfId="3362" xr:uid="{0D01C4CC-C238-45AF-9F83-8F56062D6059}"/>
    <cellStyle name="强调 2 2" xfId="3363" xr:uid="{7E624940-29AB-4FC7-AC44-1AAD9FD27B82}"/>
    <cellStyle name="强调 2 3" xfId="3364" xr:uid="{4565F8B4-35EE-4222-9046-F2182B31419F}"/>
    <cellStyle name="强调 2_收益法明细表20100506-李雪飞" xfId="3365" xr:uid="{AC394FC0-CAED-4E10-981D-7FF9D38BF028}"/>
    <cellStyle name="强调 3" xfId="3366" xr:uid="{D4BAEB6B-A6BC-4A1B-BE56-E4A3B6302B3E}"/>
    <cellStyle name="强调 3 2" xfId="3367" xr:uid="{3833C453-C5DD-4671-9297-74F97D569EC5}"/>
    <cellStyle name="强调 3 3" xfId="3368" xr:uid="{EAFCD49E-941E-4C37-B92C-FDEC3CBF5E4D}"/>
    <cellStyle name="强调 3_收益法明细表20100506-李雪飞" xfId="3369" xr:uid="{DD359E5C-3B12-495C-BF16-ADAD4D5F12F4}"/>
    <cellStyle name="强调文字颜色 1 2" xfId="3370" xr:uid="{6303BC1C-C27D-4D0F-B20E-FDB4D231ADBD}"/>
    <cellStyle name="强调文字颜色 1 2 2" xfId="3371" xr:uid="{EE03398A-3629-46FB-8C59-412B1F626550}"/>
    <cellStyle name="强调文字颜色 1 2_Sheet1" xfId="3372" xr:uid="{EAF5C8D2-51FC-4E2A-8884-1BA58E00CED9}"/>
    <cellStyle name="强调文字颜色 1 3" xfId="3373" xr:uid="{342992FB-0753-40E2-A55B-203089FD2C5D}"/>
    <cellStyle name="强调文字颜色 1 4" xfId="3374" xr:uid="{97A60C60-5C1C-4FA4-86F8-AFE75E9C2F65}"/>
    <cellStyle name="强调文字颜色 1 5" xfId="3375" xr:uid="{0A91FA8D-2207-462E-BC18-774C2816BE9B}"/>
    <cellStyle name="强调文字颜色 1 6" xfId="3376" xr:uid="{05F363E1-C24A-498F-81E2-73287243A23B}"/>
    <cellStyle name="强调文字颜色 1 7" xfId="3377" xr:uid="{BCD00062-122F-44E0-BFA9-D7BB6D767784}"/>
    <cellStyle name="强调文字颜色 2 2" xfId="3378" xr:uid="{8B65AEB7-B7FA-4C92-ADC6-FAC2147AB314}"/>
    <cellStyle name="强调文字颜色 2 2 2" xfId="3379" xr:uid="{F65AB74D-0242-482D-9F44-19CF14A3BFD6}"/>
    <cellStyle name="强调文字颜色 2 2_Sheet1" xfId="3380" xr:uid="{F5684067-11CB-47B5-B744-E283FD44211B}"/>
    <cellStyle name="强调文字颜色 2 3" xfId="3381" xr:uid="{10DF9C2F-AA4C-4ADC-A15E-06BABFDCF6DE}"/>
    <cellStyle name="强调文字颜色 2 4" xfId="3382" xr:uid="{C562ABBB-6792-494F-95E4-BC97A0BE1833}"/>
    <cellStyle name="强调文字颜色 2 5" xfId="3383" xr:uid="{C8CB8DE9-5530-43E5-AA0D-70AA3C77BF46}"/>
    <cellStyle name="强调文字颜色 2 6" xfId="3384" xr:uid="{438F3C3D-FD3B-42F1-A68B-C85E03FC49D8}"/>
    <cellStyle name="强调文字颜色 2 7" xfId="3385" xr:uid="{5D683C17-32A6-4024-8C68-4D5D9A1F84E6}"/>
    <cellStyle name="强调文字颜色 3 2" xfId="3386" xr:uid="{DAB16DCF-6628-4210-9F98-101EB1683CA0}"/>
    <cellStyle name="强调文字颜色 3 2 2" xfId="3387" xr:uid="{68C29F6A-6E32-4708-AF4A-4B99EBEE0C32}"/>
    <cellStyle name="强调文字颜色 3 2_Sheet1" xfId="3388" xr:uid="{B7D8653E-5CB9-4F49-BFC0-5F2EEF3E6328}"/>
    <cellStyle name="强调文字颜色 3 3" xfId="3389" xr:uid="{B5EB054C-F0A8-462F-ADB4-B2CAE7E26C6B}"/>
    <cellStyle name="强调文字颜色 3 4" xfId="3390" xr:uid="{4B1AE4A1-A78A-4213-8936-165AAEC6D442}"/>
    <cellStyle name="强调文字颜色 3 5" xfId="3391" xr:uid="{81468C2A-2958-411E-A5DA-908F89723458}"/>
    <cellStyle name="强调文字颜色 3 6" xfId="3392" xr:uid="{72F4B85C-24DE-4AE2-A6D8-03E4103F0AAB}"/>
    <cellStyle name="强调文字颜色 3 7" xfId="3393" xr:uid="{591FCBF8-F7A8-4BF7-861C-24F08A92DFA8}"/>
    <cellStyle name="强调文字颜色 4 2" xfId="3394" xr:uid="{F3A600DF-FA44-4E10-84D8-F4C77268A7FC}"/>
    <cellStyle name="强调文字颜色 4 2 2" xfId="3395" xr:uid="{0484CAEE-F6B3-45B8-AAFC-E443F4974474}"/>
    <cellStyle name="强调文字颜色 4 2_Sheet1" xfId="3396" xr:uid="{BF44BCC6-6B0F-41CB-AA58-718745F3DAA2}"/>
    <cellStyle name="强调文字颜色 4 3" xfId="3397" xr:uid="{4F3D6ED7-624B-4565-9B31-0D299969DAD1}"/>
    <cellStyle name="强调文字颜色 4 4" xfId="3398" xr:uid="{7BF6BDD7-E5DD-4EE6-A7D5-6861A9C0C410}"/>
    <cellStyle name="强调文字颜色 4 5" xfId="3399" xr:uid="{404EB1FB-EA62-4B83-AC15-0DFB73112120}"/>
    <cellStyle name="强调文字颜色 4 6" xfId="3400" xr:uid="{2C0D2CF9-D94E-4613-815E-1BABD3A9B229}"/>
    <cellStyle name="强调文字颜色 4 7" xfId="3401" xr:uid="{481D6939-7F32-4B4A-86A8-95F90C3B47C6}"/>
    <cellStyle name="强调文字颜色 5 2" xfId="3402" xr:uid="{D91DEACF-6C79-40D4-8476-09461E00A3F0}"/>
    <cellStyle name="强调文字颜色 5 2 2" xfId="3403" xr:uid="{96D2748F-9ED9-4AEB-9DA5-4DB556EE62D9}"/>
    <cellStyle name="强调文字颜色 5 2_Sheet1" xfId="3404" xr:uid="{31CF6276-D591-4180-B1A5-074E35F20AB7}"/>
    <cellStyle name="强调文字颜色 5 3" xfId="3405" xr:uid="{999C3D0F-5BFA-4AF5-82C3-4686A1650E27}"/>
    <cellStyle name="强调文字颜色 5 4" xfId="3406" xr:uid="{D3ADD15F-E51E-4D43-85DE-BC853A30B9A5}"/>
    <cellStyle name="强调文字颜色 5 5" xfId="3407" xr:uid="{8DE4B939-6204-41F8-A359-24387CE79365}"/>
    <cellStyle name="强调文字颜色 5 6" xfId="3408" xr:uid="{2C380A2D-6AFA-4308-8660-FE13DBACE9C8}"/>
    <cellStyle name="强调文字颜色 6 2" xfId="3409" xr:uid="{1FC0A0A4-495A-46B7-B4AA-FE1E33FFD4BE}"/>
    <cellStyle name="强调文字颜色 6 2 2" xfId="3410" xr:uid="{90626671-1074-4C68-991C-51E52C3F4D5C}"/>
    <cellStyle name="强调文字颜色 6 2_Sheet1" xfId="3411" xr:uid="{A81BC284-4375-4FC3-9FAA-A9CF2998AADF}"/>
    <cellStyle name="强调文字颜色 6 3" xfId="3412" xr:uid="{9351140B-9246-48DC-B388-EED34FBB8360}"/>
    <cellStyle name="强调文字颜色 6 4" xfId="3413" xr:uid="{14494B83-ABCC-4B24-B707-93836EC56289}"/>
    <cellStyle name="强调文字颜色 6 5" xfId="3414" xr:uid="{C5710689-B7B5-4EAD-A51F-7420D6A44D38}"/>
    <cellStyle name="强调文字颜色 6 6" xfId="3415" xr:uid="{AB57E785-AAB3-44C2-BB9F-9BD46D8C6EA7}"/>
    <cellStyle name="强调文字颜色 6 7" xfId="3416" xr:uid="{E1B15C6E-F12F-490D-8E38-7ADF5EDCDE7E}"/>
    <cellStyle name="适中 2" xfId="3417" xr:uid="{74B8EDDD-7072-43D9-86C0-6AF08D26CEAC}"/>
    <cellStyle name="适中 2 2" xfId="3418" xr:uid="{ED129411-01E0-4357-BEA2-5911A321C362}"/>
    <cellStyle name="适中 2_Sheet1" xfId="3419" xr:uid="{591D5C07-73C4-462D-B694-B21C969FF2E0}"/>
    <cellStyle name="适中 3" xfId="3420" xr:uid="{306A011E-DEDC-44B1-BE56-3F740D7E1CE6}"/>
    <cellStyle name="适中 4" xfId="3421" xr:uid="{A00B53B5-3674-4EB1-AEF0-71AA6C6FC277}"/>
    <cellStyle name="适中 5" xfId="3422" xr:uid="{B14CCC63-6137-4970-8107-8E378DAC85F4}"/>
    <cellStyle name="适中 6" xfId="3423" xr:uid="{A436A242-5CA3-4418-B47D-C7E37F93D12E}"/>
    <cellStyle name="适中 7" xfId="3424" xr:uid="{3B08534B-F652-47FF-8A0E-E8E0087E0BBB}"/>
    <cellStyle name="输出 2" xfId="3425" xr:uid="{634632F4-81F8-4803-B4B2-CD8BDB1CE4CC}"/>
    <cellStyle name="输出 2 2" xfId="3426" xr:uid="{F73A064F-C6E1-4458-9BF2-C7DE28DDB54D}"/>
    <cellStyle name="输出 2_Sheet1" xfId="3427" xr:uid="{60EB43F5-C01D-47DF-A375-56600739D60F}"/>
    <cellStyle name="输出 3" xfId="3428" xr:uid="{C60F30CE-B59A-4B1F-9126-C5183E3C739C}"/>
    <cellStyle name="输出 4" xfId="3429" xr:uid="{73E6526B-A766-4E03-A1A2-0A9F48B8324F}"/>
    <cellStyle name="输出 5" xfId="3430" xr:uid="{3244F357-2082-4239-9AF0-9C2703825FE3}"/>
    <cellStyle name="输出 6" xfId="3431" xr:uid="{BCAB4834-E4FC-413A-9F87-A31D6258657B}"/>
    <cellStyle name="输出 7" xfId="3432" xr:uid="{0F0441AD-A085-47FD-8F3A-D381FCAA4D17}"/>
    <cellStyle name="输入 2" xfId="3433" xr:uid="{AB63D449-A99E-4A7F-BA10-B850AD9229F4}"/>
    <cellStyle name="输入 2 2" xfId="3434" xr:uid="{EC16DD31-2A84-4047-9CB1-A91A8D9202FC}"/>
    <cellStyle name="输入 2_Sheet1" xfId="3435" xr:uid="{FAA3751C-F939-4EEA-9C00-7C0784C9A743}"/>
    <cellStyle name="输入 3" xfId="3436" xr:uid="{96F044F9-8810-4B55-9BD6-32370517D72C}"/>
    <cellStyle name="输入 4" xfId="3437" xr:uid="{2EC7D85E-AC4E-4DD1-8AD1-4682832A3CA8}"/>
    <cellStyle name="输入 5" xfId="3438" xr:uid="{08C07612-B98A-4C85-BF26-38078158CD78}"/>
    <cellStyle name="输入 6" xfId="3439" xr:uid="{A1BE6094-062C-4991-BE53-C1466538BC64}"/>
    <cellStyle name="输入 7" xfId="3440" xr:uid="{310E9559-F764-4AA0-B51A-B1DE8CA4268B}"/>
    <cellStyle name="輸出" xfId="3441" xr:uid="{3C546DAF-15DB-4FF5-9B52-E66CFE4D73AB}"/>
    <cellStyle name="輸入" xfId="3442" xr:uid="{38FCB089-1CE9-4467-B6F3-E87D5EAF3211}"/>
    <cellStyle name="說明文字" xfId="3443" xr:uid="{CC53F1BF-C235-427E-B69E-E0ABDE9165BF}"/>
    <cellStyle name="通貨 [0.00]_１１月価格表" xfId="3444" xr:uid="{B38ADE35-0F49-4654-A087-D0BDB6D6D150}"/>
    <cellStyle name="通貨_１１月価格表" xfId="3445" xr:uid="{459836B3-2732-48E3-9075-8163378FFBC9}"/>
    <cellStyle name="脱浦 [0.00]_Attachment 2 (2)" xfId="3446" xr:uid="{7DD69F6A-1D4A-47DE-A8E8-223995A9B057}"/>
    <cellStyle name="脱浦_Attachment 2 (2)" xfId="3447" xr:uid="{BBD390FD-E9A6-4D8A-867C-E10E05E84384}"/>
    <cellStyle name="未定義" xfId="3448" xr:uid="{6B8BB9E7-4F02-413B-A19C-38DB244838F4}"/>
    <cellStyle name="样式 1" xfId="3449" xr:uid="{1D5A61B6-53AD-4E9A-BA71-1E16487E58C2}"/>
    <cellStyle name="样式 1 2" xfId="3450" xr:uid="{5BAFFA10-C143-48DF-AD3B-2AE64D522313}"/>
    <cellStyle name="样式 1 2 2" xfId="3451" xr:uid="{F4E68EA0-2A20-45FC-8804-6E6B651E064D}"/>
    <cellStyle name="样式 1 2 3" xfId="3452" xr:uid="{048D5E39-C73B-40D6-9208-12472BA56D7A}"/>
    <cellStyle name="样式 1 2_Sheet1" xfId="3453" xr:uid="{BDDBAD69-85E2-4E5C-9C80-98BB87B2D649}"/>
    <cellStyle name="样式 1 3" xfId="3454" xr:uid="{B1CF9FF9-CE69-4800-858F-1C2423EFEA72}"/>
    <cellStyle name="样式 1 4" xfId="3455" xr:uid="{AEF33D34-F36C-4408-A3A8-8DC1B8AD1149}"/>
    <cellStyle name="样式 1 5" xfId="3456" xr:uid="{54C538C1-8E9A-4015-9C9A-96BC84787445}"/>
    <cellStyle name="样式 1 6" xfId="3457" xr:uid="{29AFC6CF-C59E-4F82-AB69-6789F209CB15}"/>
    <cellStyle name="样式 1 7" xfId="3458" xr:uid="{349D3B78-DF20-4E2F-B5A0-068BC4F4FED5}"/>
    <cellStyle name="样式 1_评估明细表-中科信息-成本法-1116" xfId="3459" xr:uid="{F542496F-1876-4617-851E-9B1C0717071D}"/>
    <cellStyle name="样式 2" xfId="3460" xr:uid="{831099EC-7D1D-4665-8A4B-446E48D72923}"/>
    <cellStyle name="僷乕僙儞僩_!!!GO" xfId="3461" xr:uid="{4BD76BC9-1DDE-4027-9196-06EA04C12F7F}"/>
    <cellStyle name="一般_2004年油库会计报表" xfId="3462" xr:uid="{EE509958-A7A8-4E11-9E76-1D1F11F45502}"/>
    <cellStyle name="昗弨_!!!GO" xfId="3463" xr:uid="{A003531F-E3B5-435D-95AD-B347C891E302}"/>
    <cellStyle name="寘嬫愗傝 [0.00]_!!!GO" xfId="3464" xr:uid="{BCEDCD0A-662D-46E5-88D0-FCF250F433B7}"/>
    <cellStyle name="寘嬫愗傝_!!!GO" xfId="3465" xr:uid="{3FDE216D-9644-4098-8D96-CA4E8751574D}"/>
    <cellStyle name="中等" xfId="3466" xr:uid="{358E92F6-D007-47D5-A417-F134AF5270A2}"/>
    <cellStyle name="注释 2" xfId="3467" xr:uid="{7B0E03FC-DE6C-439C-B29B-36E23D8FAACB}"/>
    <cellStyle name="注释 2 2" xfId="3468" xr:uid="{BE18B2EF-1406-47EF-AC88-BF975A291FD3}"/>
    <cellStyle name="注释 2_Sheet1" xfId="3469" xr:uid="{E8603607-07C9-4398-9FF9-0D5F18D1EEDA}"/>
    <cellStyle name="注释 3" xfId="3470" xr:uid="{482CEEBA-67B3-4F60-B2C5-1A4D4001CBBE}"/>
    <cellStyle name="注释 4" xfId="3471" xr:uid="{2F9E7F83-7602-462E-9E5C-01517CBF7C8B}"/>
    <cellStyle name="注释 5" xfId="3472" xr:uid="{BF8413E2-D306-4887-BCF3-65DD25B0D1E6}"/>
    <cellStyle name="注释 6" xfId="3473" xr:uid="{3E7C5F69-8B87-42EF-8395-B68CE39FAA12}"/>
    <cellStyle name="资产" xfId="3474" xr:uid="{D5E04DF2-7C31-4DA5-AF53-EB6262F6EC6A}"/>
    <cellStyle name="资产 2" xfId="3475" xr:uid="{1DD8A640-A206-4D80-B8CD-F1AAEEC08F5D}"/>
    <cellStyle name="资产 3" xfId="3476" xr:uid="{00CC67AA-6EAC-40F3-A101-276DD84873C9}"/>
    <cellStyle name="资产 4" xfId="3477" xr:uid="{F22C5DB4-C0BD-44FF-BCF0-9E0430BBDF3C}"/>
    <cellStyle name="资产 5" xfId="3478" xr:uid="{B89B9401-3045-4A39-8B40-990E69E54AAA}"/>
    <cellStyle name="콤마 [0]_#6기본예산 " xfId="3479" xr:uid="{F35F4933-7CC5-4391-822A-EF253B9DC632}"/>
    <cellStyle name="콤마_#6기본예산 " xfId="3480" xr:uid="{8BFC1DFE-0DF8-4B2A-A38E-8356BF15D19C}"/>
    <cellStyle name="통화 [0]_#6기본예산 " xfId="3481" xr:uid="{911A1EAC-21A0-49DA-93A2-CEF6D70071E2}"/>
    <cellStyle name="통화_#6기본예산 " xfId="3482" xr:uid="{16CB8247-6060-4C18-9229-82B8C2227C58}"/>
    <cellStyle name="표준_#6기본예산 " xfId="3483" xr:uid="{2A17E57D-EA6C-4869-9734-3E46213CEFFF}"/>
  </cellStyles>
  <dxfs count="254">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66;&#22330;&#27861;/&#24066;&#22330;&#27861;/&#21442;&#25968;/&#32418;&#22303;&#33322;&#31354;&#25910;&#30410;&#27861;&#30003;&#25253;&#34920;-20180203-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22823;&#20016;&#20892;&#21830;&#34892;&#35780;&#20272;&#26126;&#32454;&#34920;&#65288;&#25910;&#30410;&#2786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
      <sheetName val="结果汇总"/>
      <sheetName val="历史3-5年财务状况"/>
      <sheetName val="资产、负债清查调整情况表"/>
      <sheetName val="负息负债明细表"/>
      <sheetName val="非经营性资产评估表"/>
      <sheetName val="净现金流计算表"/>
      <sheetName val="多余现金估算表"/>
      <sheetName val="营运资金估算表"/>
      <sheetName val="毛现金流计算表"/>
      <sheetName val="营业收入预测表"/>
      <sheetName val="产品单价预测表"/>
      <sheetName val="产品销量预测表"/>
      <sheetName val="附表-收入"/>
      <sheetName val="营业成本预测表"/>
      <sheetName val="附表-成本"/>
      <sheetName val="税金及附加"/>
      <sheetName val="销售费用预测表"/>
      <sheetName val="管理费用预测表"/>
      <sheetName val="财务费用预测表"/>
      <sheetName val="折旧摊销预测"/>
      <sheetName val="营运资金预测表"/>
      <sheetName val="营运资金（2）预测表"/>
      <sheetName val="资本支出预测"/>
      <sheetName val="加权资金成本"/>
      <sheetName val="国债收益率"/>
      <sheetName val="t检验数据及检验结论"/>
      <sheetName val="数据表"/>
      <sheetName val="2018-2022预测总体情况"/>
      <sheetName val="2018-2022预测现金流"/>
    </sheetNames>
    <sheetDataSet>
      <sheetData sheetId="0" refreshError="1">
        <row r="7">
          <cell r="C7" t="str">
            <v>被评估单位名称：</v>
          </cell>
        </row>
        <row r="17">
          <cell r="F17">
            <v>43100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CY6-2结果汇总"/>
      <sheetName val="权益现金流量计算表"/>
      <sheetName val="资产负债表-元位"/>
      <sheetName val="利润表-元位"/>
      <sheetName val="权益现金流量计算表 (2)"/>
      <sheetName val="CY6-4非经营性资产评估表"/>
      <sheetName val="1-利润表"/>
      <sheetName val="2-资产负债表"/>
      <sheetName val="3-所有者权益变动表"/>
      <sheetName val="3-1-资本充足率预测表"/>
      <sheetName val="4-1-主要财务指标"/>
      <sheetName val="4-2-净利差计算表"/>
      <sheetName val="生息资产规模预测表"/>
      <sheetName val="1-1-1贷款规模预测表"/>
      <sheetName val="1-1-2利息收入-贷款利息预测表"/>
      <sheetName val="1-2-1其他生息资产规模预测表"/>
      <sheetName val="1-2-2利息收入-其他生息资产利息收入预测表"/>
      <sheetName val="1-3-1投资类业务规模预测表"/>
      <sheetName val="1-3-2利息收入-投资类业务利息预测表"/>
      <sheetName val="4投资收益预测表"/>
      <sheetName val="生息负债规模预测表"/>
      <sheetName val="2-1-1存款规模预测表"/>
      <sheetName val="2-1-2利息支出-存款利息支出预测表"/>
      <sheetName val="2-2-1其他生息负债规模预测表"/>
      <sheetName val="2-2-2利息支出-其他生息负债利息支出预测表"/>
      <sheetName val="5-手续费及佣金收支预测表"/>
      <sheetName val="其他非生息损益预测表"/>
      <sheetName val="其他业务收支预测表"/>
      <sheetName val="6-税金及附加预测"/>
      <sheetName val="7-业务管理费预测表"/>
      <sheetName val="8-资产减值损失预测表"/>
      <sheetName val="9-其他资产预测表"/>
      <sheetName val="10-所得税费用预测表"/>
      <sheetName val="11-折旧、资支"/>
      <sheetName val="非生息资产及负债"/>
      <sheetName val="CY6-17加权平均资金成本"/>
      <sheetName val="BETA"/>
      <sheetName val="CY6-17-1特有风险收益率rc"/>
      <sheetName val="营业收入核算表报表数据"/>
      <sheetName val="长期股权投资评估值"/>
      <sheetName val="上市公司年度分红比例"/>
      <sheetName val="Sheet1"/>
    </sheetNames>
    <sheetDataSet>
      <sheetData sheetId="0">
        <row r="12">
          <cell r="A12" t="str">
            <v>评估基准日：2023年12月31日</v>
          </cell>
        </row>
      </sheetData>
      <sheetData sheetId="1"/>
      <sheetData sheetId="2"/>
      <sheetData sheetId="3"/>
      <sheetData sheetId="4"/>
      <sheetData sheetId="5">
        <row r="4">
          <cell r="D4" t="str">
            <v>2021年</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hyperlink" Target="https://baike.baidu.com/item/%E5%87%80%E5%88%A9%E6%B6%A6" TargetMode="External"/><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hyperlink" Target="https://baike.baidu.com/item/%E5%87%80%E5%88%A9%E6%B6%A6"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A601C-8F42-4D2E-8FCD-EEB349A2EB92}">
  <dimension ref="A1:I21"/>
  <sheetViews>
    <sheetView tabSelected="1" view="pageBreakPreview" zoomScale="60" zoomScaleNormal="100" workbookViewId="0">
      <selection activeCell="E35" sqref="E35"/>
    </sheetView>
  </sheetViews>
  <sheetFormatPr defaultColWidth="9" defaultRowHeight="15.5"/>
  <cols>
    <col min="1" max="1" width="12.7265625" style="524" customWidth="1"/>
    <col min="2" max="2" width="24" style="524" customWidth="1"/>
    <col min="3" max="3" width="6.36328125" style="524" customWidth="1"/>
    <col min="4" max="4" width="15.90625" style="524" customWidth="1"/>
    <col min="5" max="5" width="16.6328125" style="524" customWidth="1"/>
    <col min="6" max="6" width="19.90625" style="524" customWidth="1"/>
    <col min="7" max="7" width="18.90625" style="524" customWidth="1"/>
    <col min="8" max="8" width="9" style="524"/>
    <col min="9" max="9" width="9.6328125" style="524" bestFit="1" customWidth="1"/>
    <col min="10" max="253" width="9" style="524"/>
    <col min="254" max="254" width="12.7265625" style="524" customWidth="1"/>
    <col min="255" max="255" width="24" style="524" customWidth="1"/>
    <col min="256" max="256" width="6.36328125" style="524" customWidth="1"/>
    <col min="257" max="257" width="12.7265625" style="524" customWidth="1"/>
    <col min="258" max="258" width="12" style="524" customWidth="1"/>
    <col min="259" max="259" width="10" style="524" customWidth="1"/>
    <col min="260" max="260" width="9.7265625" style="524" customWidth="1"/>
    <col min="261" max="261" width="9.453125" style="524" customWidth="1"/>
    <col min="262" max="262" width="9.6328125" style="524" customWidth="1"/>
    <col min="263" max="263" width="9.90625" style="524" customWidth="1"/>
    <col min="264" max="264" width="9" style="524"/>
    <col min="265" max="265" width="9.6328125" style="524" bestFit="1" customWidth="1"/>
    <col min="266" max="509" width="9" style="524"/>
    <col min="510" max="510" width="12.7265625" style="524" customWidth="1"/>
    <col min="511" max="511" width="24" style="524" customWidth="1"/>
    <col min="512" max="512" width="6.36328125" style="524" customWidth="1"/>
    <col min="513" max="513" width="12.7265625" style="524" customWidth="1"/>
    <col min="514" max="514" width="12" style="524" customWidth="1"/>
    <col min="515" max="515" width="10" style="524" customWidth="1"/>
    <col min="516" max="516" width="9.7265625" style="524" customWidth="1"/>
    <col min="517" max="517" width="9.453125" style="524" customWidth="1"/>
    <col min="518" max="518" width="9.6328125" style="524" customWidth="1"/>
    <col min="519" max="519" width="9.90625" style="524" customWidth="1"/>
    <col min="520" max="520" width="9" style="524"/>
    <col min="521" max="521" width="9.6328125" style="524" bestFit="1" customWidth="1"/>
    <col min="522" max="765" width="9" style="524"/>
    <col min="766" max="766" width="12.7265625" style="524" customWidth="1"/>
    <col min="767" max="767" width="24" style="524" customWidth="1"/>
    <col min="768" max="768" width="6.36328125" style="524" customWidth="1"/>
    <col min="769" max="769" width="12.7265625" style="524" customWidth="1"/>
    <col min="770" max="770" width="12" style="524" customWidth="1"/>
    <col min="771" max="771" width="10" style="524" customWidth="1"/>
    <col min="772" max="772" width="9.7265625" style="524" customWidth="1"/>
    <col min="773" max="773" width="9.453125" style="524" customWidth="1"/>
    <col min="774" max="774" width="9.6328125" style="524" customWidth="1"/>
    <col min="775" max="775" width="9.90625" style="524" customWidth="1"/>
    <col min="776" max="776" width="9" style="524"/>
    <col min="777" max="777" width="9.6328125" style="524" bestFit="1" customWidth="1"/>
    <col min="778" max="1021" width="9" style="524"/>
    <col min="1022" max="1022" width="12.7265625" style="524" customWidth="1"/>
    <col min="1023" max="1023" width="24" style="524" customWidth="1"/>
    <col min="1024" max="1024" width="6.36328125" style="524" customWidth="1"/>
    <col min="1025" max="1025" width="12.7265625" style="524" customWidth="1"/>
    <col min="1026" max="1026" width="12" style="524" customWidth="1"/>
    <col min="1027" max="1027" width="10" style="524" customWidth="1"/>
    <col min="1028" max="1028" width="9.7265625" style="524" customWidth="1"/>
    <col min="1029" max="1029" width="9.453125" style="524" customWidth="1"/>
    <col min="1030" max="1030" width="9.6328125" style="524" customWidth="1"/>
    <col min="1031" max="1031" width="9.90625" style="524" customWidth="1"/>
    <col min="1032" max="1032" width="9" style="524"/>
    <col min="1033" max="1033" width="9.6328125" style="524" bestFit="1" customWidth="1"/>
    <col min="1034" max="1277" width="9" style="524"/>
    <col min="1278" max="1278" width="12.7265625" style="524" customWidth="1"/>
    <col min="1279" max="1279" width="24" style="524" customWidth="1"/>
    <col min="1280" max="1280" width="6.36328125" style="524" customWidth="1"/>
    <col min="1281" max="1281" width="12.7265625" style="524" customWidth="1"/>
    <col min="1282" max="1282" width="12" style="524" customWidth="1"/>
    <col min="1283" max="1283" width="10" style="524" customWidth="1"/>
    <col min="1284" max="1284" width="9.7265625" style="524" customWidth="1"/>
    <col min="1285" max="1285" width="9.453125" style="524" customWidth="1"/>
    <col min="1286" max="1286" width="9.6328125" style="524" customWidth="1"/>
    <col min="1287" max="1287" width="9.90625" style="524" customWidth="1"/>
    <col min="1288" max="1288" width="9" style="524"/>
    <col min="1289" max="1289" width="9.6328125" style="524" bestFit="1" customWidth="1"/>
    <col min="1290" max="1533" width="9" style="524"/>
    <col min="1534" max="1534" width="12.7265625" style="524" customWidth="1"/>
    <col min="1535" max="1535" width="24" style="524" customWidth="1"/>
    <col min="1536" max="1536" width="6.36328125" style="524" customWidth="1"/>
    <col min="1537" max="1537" width="12.7265625" style="524" customWidth="1"/>
    <col min="1538" max="1538" width="12" style="524" customWidth="1"/>
    <col min="1539" max="1539" width="10" style="524" customWidth="1"/>
    <col min="1540" max="1540" width="9.7265625" style="524" customWidth="1"/>
    <col min="1541" max="1541" width="9.453125" style="524" customWidth="1"/>
    <col min="1542" max="1542" width="9.6328125" style="524" customWidth="1"/>
    <col min="1543" max="1543" width="9.90625" style="524" customWidth="1"/>
    <col min="1544" max="1544" width="9" style="524"/>
    <col min="1545" max="1545" width="9.6328125" style="524" bestFit="1" customWidth="1"/>
    <col min="1546" max="1789" width="9" style="524"/>
    <col min="1790" max="1790" width="12.7265625" style="524" customWidth="1"/>
    <col min="1791" max="1791" width="24" style="524" customWidth="1"/>
    <col min="1792" max="1792" width="6.36328125" style="524" customWidth="1"/>
    <col min="1793" max="1793" width="12.7265625" style="524" customWidth="1"/>
    <col min="1794" max="1794" width="12" style="524" customWidth="1"/>
    <col min="1795" max="1795" width="10" style="524" customWidth="1"/>
    <col min="1796" max="1796" width="9.7265625" style="524" customWidth="1"/>
    <col min="1797" max="1797" width="9.453125" style="524" customWidth="1"/>
    <col min="1798" max="1798" width="9.6328125" style="524" customWidth="1"/>
    <col min="1799" max="1799" width="9.90625" style="524" customWidth="1"/>
    <col min="1800" max="1800" width="9" style="524"/>
    <col min="1801" max="1801" width="9.6328125" style="524" bestFit="1" customWidth="1"/>
    <col min="1802" max="2045" width="9" style="524"/>
    <col min="2046" max="2046" width="12.7265625" style="524" customWidth="1"/>
    <col min="2047" max="2047" width="24" style="524" customWidth="1"/>
    <col min="2048" max="2048" width="6.36328125" style="524" customWidth="1"/>
    <col min="2049" max="2049" width="12.7265625" style="524" customWidth="1"/>
    <col min="2050" max="2050" width="12" style="524" customWidth="1"/>
    <col min="2051" max="2051" width="10" style="524" customWidth="1"/>
    <col min="2052" max="2052" width="9.7265625" style="524" customWidth="1"/>
    <col min="2053" max="2053" width="9.453125" style="524" customWidth="1"/>
    <col min="2054" max="2054" width="9.6328125" style="524" customWidth="1"/>
    <col min="2055" max="2055" width="9.90625" style="524" customWidth="1"/>
    <col min="2056" max="2056" width="9" style="524"/>
    <col min="2057" max="2057" width="9.6328125" style="524" bestFit="1" customWidth="1"/>
    <col min="2058" max="2301" width="9" style="524"/>
    <col min="2302" max="2302" width="12.7265625" style="524" customWidth="1"/>
    <col min="2303" max="2303" width="24" style="524" customWidth="1"/>
    <col min="2304" max="2304" width="6.36328125" style="524" customWidth="1"/>
    <col min="2305" max="2305" width="12.7265625" style="524" customWidth="1"/>
    <col min="2306" max="2306" width="12" style="524" customWidth="1"/>
    <col min="2307" max="2307" width="10" style="524" customWidth="1"/>
    <col min="2308" max="2308" width="9.7265625" style="524" customWidth="1"/>
    <col min="2309" max="2309" width="9.453125" style="524" customWidth="1"/>
    <col min="2310" max="2310" width="9.6328125" style="524" customWidth="1"/>
    <col min="2311" max="2311" width="9.90625" style="524" customWidth="1"/>
    <col min="2312" max="2312" width="9" style="524"/>
    <col min="2313" max="2313" width="9.6328125" style="524" bestFit="1" customWidth="1"/>
    <col min="2314" max="2557" width="9" style="524"/>
    <col min="2558" max="2558" width="12.7265625" style="524" customWidth="1"/>
    <col min="2559" max="2559" width="24" style="524" customWidth="1"/>
    <col min="2560" max="2560" width="6.36328125" style="524" customWidth="1"/>
    <col min="2561" max="2561" width="12.7265625" style="524" customWidth="1"/>
    <col min="2562" max="2562" width="12" style="524" customWidth="1"/>
    <col min="2563" max="2563" width="10" style="524" customWidth="1"/>
    <col min="2564" max="2564" width="9.7265625" style="524" customWidth="1"/>
    <col min="2565" max="2565" width="9.453125" style="524" customWidth="1"/>
    <col min="2566" max="2566" width="9.6328125" style="524" customWidth="1"/>
    <col min="2567" max="2567" width="9.90625" style="524" customWidth="1"/>
    <col min="2568" max="2568" width="9" style="524"/>
    <col min="2569" max="2569" width="9.6328125" style="524" bestFit="1" customWidth="1"/>
    <col min="2570" max="2813" width="9" style="524"/>
    <col min="2814" max="2814" width="12.7265625" style="524" customWidth="1"/>
    <col min="2815" max="2815" width="24" style="524" customWidth="1"/>
    <col min="2816" max="2816" width="6.36328125" style="524" customWidth="1"/>
    <col min="2817" max="2817" width="12.7265625" style="524" customWidth="1"/>
    <col min="2818" max="2818" width="12" style="524" customWidth="1"/>
    <col min="2819" max="2819" width="10" style="524" customWidth="1"/>
    <col min="2820" max="2820" width="9.7265625" style="524" customWidth="1"/>
    <col min="2821" max="2821" width="9.453125" style="524" customWidth="1"/>
    <col min="2822" max="2822" width="9.6328125" style="524" customWidth="1"/>
    <col min="2823" max="2823" width="9.90625" style="524" customWidth="1"/>
    <col min="2824" max="2824" width="9" style="524"/>
    <col min="2825" max="2825" width="9.6328125" style="524" bestFit="1" customWidth="1"/>
    <col min="2826" max="3069" width="9" style="524"/>
    <col min="3070" max="3070" width="12.7265625" style="524" customWidth="1"/>
    <col min="3071" max="3071" width="24" style="524" customWidth="1"/>
    <col min="3072" max="3072" width="6.36328125" style="524" customWidth="1"/>
    <col min="3073" max="3073" width="12.7265625" style="524" customWidth="1"/>
    <col min="3074" max="3074" width="12" style="524" customWidth="1"/>
    <col min="3075" max="3075" width="10" style="524" customWidth="1"/>
    <col min="3076" max="3076" width="9.7265625" style="524" customWidth="1"/>
    <col min="3077" max="3077" width="9.453125" style="524" customWidth="1"/>
    <col min="3078" max="3078" width="9.6328125" style="524" customWidth="1"/>
    <col min="3079" max="3079" width="9.90625" style="524" customWidth="1"/>
    <col min="3080" max="3080" width="9" style="524"/>
    <col min="3081" max="3081" width="9.6328125" style="524" bestFit="1" customWidth="1"/>
    <col min="3082" max="3325" width="9" style="524"/>
    <col min="3326" max="3326" width="12.7265625" style="524" customWidth="1"/>
    <col min="3327" max="3327" width="24" style="524" customWidth="1"/>
    <col min="3328" max="3328" width="6.36328125" style="524" customWidth="1"/>
    <col min="3329" max="3329" width="12.7265625" style="524" customWidth="1"/>
    <col min="3330" max="3330" width="12" style="524" customWidth="1"/>
    <col min="3331" max="3331" width="10" style="524" customWidth="1"/>
    <col min="3332" max="3332" width="9.7265625" style="524" customWidth="1"/>
    <col min="3333" max="3333" width="9.453125" style="524" customWidth="1"/>
    <col min="3334" max="3334" width="9.6328125" style="524" customWidth="1"/>
    <col min="3335" max="3335" width="9.90625" style="524" customWidth="1"/>
    <col min="3336" max="3336" width="9" style="524"/>
    <col min="3337" max="3337" width="9.6328125" style="524" bestFit="1" customWidth="1"/>
    <col min="3338" max="3581" width="9" style="524"/>
    <col min="3582" max="3582" width="12.7265625" style="524" customWidth="1"/>
    <col min="3583" max="3583" width="24" style="524" customWidth="1"/>
    <col min="3584" max="3584" width="6.36328125" style="524" customWidth="1"/>
    <col min="3585" max="3585" width="12.7265625" style="524" customWidth="1"/>
    <col min="3586" max="3586" width="12" style="524" customWidth="1"/>
    <col min="3587" max="3587" width="10" style="524" customWidth="1"/>
    <col min="3588" max="3588" width="9.7265625" style="524" customWidth="1"/>
    <col min="3589" max="3589" width="9.453125" style="524" customWidth="1"/>
    <col min="3590" max="3590" width="9.6328125" style="524" customWidth="1"/>
    <col min="3591" max="3591" width="9.90625" style="524" customWidth="1"/>
    <col min="3592" max="3592" width="9" style="524"/>
    <col min="3593" max="3593" width="9.6328125" style="524" bestFit="1" customWidth="1"/>
    <col min="3594" max="3837" width="9" style="524"/>
    <col min="3838" max="3838" width="12.7265625" style="524" customWidth="1"/>
    <col min="3839" max="3839" width="24" style="524" customWidth="1"/>
    <col min="3840" max="3840" width="6.36328125" style="524" customWidth="1"/>
    <col min="3841" max="3841" width="12.7265625" style="524" customWidth="1"/>
    <col min="3842" max="3842" width="12" style="524" customWidth="1"/>
    <col min="3843" max="3843" width="10" style="524" customWidth="1"/>
    <col min="3844" max="3844" width="9.7265625" style="524" customWidth="1"/>
    <col min="3845" max="3845" width="9.453125" style="524" customWidth="1"/>
    <col min="3846" max="3846" width="9.6328125" style="524" customWidth="1"/>
    <col min="3847" max="3847" width="9.90625" style="524" customWidth="1"/>
    <col min="3848" max="3848" width="9" style="524"/>
    <col min="3849" max="3849" width="9.6328125" style="524" bestFit="1" customWidth="1"/>
    <col min="3850" max="4093" width="9" style="524"/>
    <col min="4094" max="4094" width="12.7265625" style="524" customWidth="1"/>
    <col min="4095" max="4095" width="24" style="524" customWidth="1"/>
    <col min="4096" max="4096" width="6.36328125" style="524" customWidth="1"/>
    <col min="4097" max="4097" width="12.7265625" style="524" customWidth="1"/>
    <col min="4098" max="4098" width="12" style="524" customWidth="1"/>
    <col min="4099" max="4099" width="10" style="524" customWidth="1"/>
    <col min="4100" max="4100" width="9.7265625" style="524" customWidth="1"/>
    <col min="4101" max="4101" width="9.453125" style="524" customWidth="1"/>
    <col min="4102" max="4102" width="9.6328125" style="524" customWidth="1"/>
    <col min="4103" max="4103" width="9.90625" style="524" customWidth="1"/>
    <col min="4104" max="4104" width="9" style="524"/>
    <col min="4105" max="4105" width="9.6328125" style="524" bestFit="1" customWidth="1"/>
    <col min="4106" max="4349" width="9" style="524"/>
    <col min="4350" max="4350" width="12.7265625" style="524" customWidth="1"/>
    <col min="4351" max="4351" width="24" style="524" customWidth="1"/>
    <col min="4352" max="4352" width="6.36328125" style="524" customWidth="1"/>
    <col min="4353" max="4353" width="12.7265625" style="524" customWidth="1"/>
    <col min="4354" max="4354" width="12" style="524" customWidth="1"/>
    <col min="4355" max="4355" width="10" style="524" customWidth="1"/>
    <col min="4356" max="4356" width="9.7265625" style="524" customWidth="1"/>
    <col min="4357" max="4357" width="9.453125" style="524" customWidth="1"/>
    <col min="4358" max="4358" width="9.6328125" style="524" customWidth="1"/>
    <col min="4359" max="4359" width="9.90625" style="524" customWidth="1"/>
    <col min="4360" max="4360" width="9" style="524"/>
    <col min="4361" max="4361" width="9.6328125" style="524" bestFit="1" customWidth="1"/>
    <col min="4362" max="4605" width="9" style="524"/>
    <col min="4606" max="4606" width="12.7265625" style="524" customWidth="1"/>
    <col min="4607" max="4607" width="24" style="524" customWidth="1"/>
    <col min="4608" max="4608" width="6.36328125" style="524" customWidth="1"/>
    <col min="4609" max="4609" width="12.7265625" style="524" customWidth="1"/>
    <col min="4610" max="4610" width="12" style="524" customWidth="1"/>
    <col min="4611" max="4611" width="10" style="524" customWidth="1"/>
    <col min="4612" max="4612" width="9.7265625" style="524" customWidth="1"/>
    <col min="4613" max="4613" width="9.453125" style="524" customWidth="1"/>
    <col min="4614" max="4614" width="9.6328125" style="524" customWidth="1"/>
    <col min="4615" max="4615" width="9.90625" style="524" customWidth="1"/>
    <col min="4616" max="4616" width="9" style="524"/>
    <col min="4617" max="4617" width="9.6328125" style="524" bestFit="1" customWidth="1"/>
    <col min="4618" max="4861" width="9" style="524"/>
    <col min="4862" max="4862" width="12.7265625" style="524" customWidth="1"/>
    <col min="4863" max="4863" width="24" style="524" customWidth="1"/>
    <col min="4864" max="4864" width="6.36328125" style="524" customWidth="1"/>
    <col min="4865" max="4865" width="12.7265625" style="524" customWidth="1"/>
    <col min="4866" max="4866" width="12" style="524" customWidth="1"/>
    <col min="4867" max="4867" width="10" style="524" customWidth="1"/>
    <col min="4868" max="4868" width="9.7265625" style="524" customWidth="1"/>
    <col min="4869" max="4869" width="9.453125" style="524" customWidth="1"/>
    <col min="4870" max="4870" width="9.6328125" style="524" customWidth="1"/>
    <col min="4871" max="4871" width="9.90625" style="524" customWidth="1"/>
    <col min="4872" max="4872" width="9" style="524"/>
    <col min="4873" max="4873" width="9.6328125" style="524" bestFit="1" customWidth="1"/>
    <col min="4874" max="5117" width="9" style="524"/>
    <col min="5118" max="5118" width="12.7265625" style="524" customWidth="1"/>
    <col min="5119" max="5119" width="24" style="524" customWidth="1"/>
    <col min="5120" max="5120" width="6.36328125" style="524" customWidth="1"/>
    <col min="5121" max="5121" width="12.7265625" style="524" customWidth="1"/>
    <col min="5122" max="5122" width="12" style="524" customWidth="1"/>
    <col min="5123" max="5123" width="10" style="524" customWidth="1"/>
    <col min="5124" max="5124" width="9.7265625" style="524" customWidth="1"/>
    <col min="5125" max="5125" width="9.453125" style="524" customWidth="1"/>
    <col min="5126" max="5126" width="9.6328125" style="524" customWidth="1"/>
    <col min="5127" max="5127" width="9.90625" style="524" customWidth="1"/>
    <col min="5128" max="5128" width="9" style="524"/>
    <col min="5129" max="5129" width="9.6328125" style="524" bestFit="1" customWidth="1"/>
    <col min="5130" max="5373" width="9" style="524"/>
    <col min="5374" max="5374" width="12.7265625" style="524" customWidth="1"/>
    <col min="5375" max="5375" width="24" style="524" customWidth="1"/>
    <col min="5376" max="5376" width="6.36328125" style="524" customWidth="1"/>
    <col min="5377" max="5377" width="12.7265625" style="524" customWidth="1"/>
    <col min="5378" max="5378" width="12" style="524" customWidth="1"/>
    <col min="5379" max="5379" width="10" style="524" customWidth="1"/>
    <col min="5380" max="5380" width="9.7265625" style="524" customWidth="1"/>
    <col min="5381" max="5381" width="9.453125" style="524" customWidth="1"/>
    <col min="5382" max="5382" width="9.6328125" style="524" customWidth="1"/>
    <col min="5383" max="5383" width="9.90625" style="524" customWidth="1"/>
    <col min="5384" max="5384" width="9" style="524"/>
    <col min="5385" max="5385" width="9.6328125" style="524" bestFit="1" customWidth="1"/>
    <col min="5386" max="5629" width="9" style="524"/>
    <col min="5630" max="5630" width="12.7265625" style="524" customWidth="1"/>
    <col min="5631" max="5631" width="24" style="524" customWidth="1"/>
    <col min="5632" max="5632" width="6.36328125" style="524" customWidth="1"/>
    <col min="5633" max="5633" width="12.7265625" style="524" customWidth="1"/>
    <col min="5634" max="5634" width="12" style="524" customWidth="1"/>
    <col min="5635" max="5635" width="10" style="524" customWidth="1"/>
    <col min="5636" max="5636" width="9.7265625" style="524" customWidth="1"/>
    <col min="5637" max="5637" width="9.453125" style="524" customWidth="1"/>
    <col min="5638" max="5638" width="9.6328125" style="524" customWidth="1"/>
    <col min="5639" max="5639" width="9.90625" style="524" customWidth="1"/>
    <col min="5640" max="5640" width="9" style="524"/>
    <col min="5641" max="5641" width="9.6328125" style="524" bestFit="1" customWidth="1"/>
    <col min="5642" max="5885" width="9" style="524"/>
    <col min="5886" max="5886" width="12.7265625" style="524" customWidth="1"/>
    <col min="5887" max="5887" width="24" style="524" customWidth="1"/>
    <col min="5888" max="5888" width="6.36328125" style="524" customWidth="1"/>
    <col min="5889" max="5889" width="12.7265625" style="524" customWidth="1"/>
    <col min="5890" max="5890" width="12" style="524" customWidth="1"/>
    <col min="5891" max="5891" width="10" style="524" customWidth="1"/>
    <col min="5892" max="5892" width="9.7265625" style="524" customWidth="1"/>
    <col min="5893" max="5893" width="9.453125" style="524" customWidth="1"/>
    <col min="5894" max="5894" width="9.6328125" style="524" customWidth="1"/>
    <col min="5895" max="5895" width="9.90625" style="524" customWidth="1"/>
    <col min="5896" max="5896" width="9" style="524"/>
    <col min="5897" max="5897" width="9.6328125" style="524" bestFit="1" customWidth="1"/>
    <col min="5898" max="6141" width="9" style="524"/>
    <col min="6142" max="6142" width="12.7265625" style="524" customWidth="1"/>
    <col min="6143" max="6143" width="24" style="524" customWidth="1"/>
    <col min="6144" max="6144" width="6.36328125" style="524" customWidth="1"/>
    <col min="6145" max="6145" width="12.7265625" style="524" customWidth="1"/>
    <col min="6146" max="6146" width="12" style="524" customWidth="1"/>
    <col min="6147" max="6147" width="10" style="524" customWidth="1"/>
    <col min="6148" max="6148" width="9.7265625" style="524" customWidth="1"/>
    <col min="6149" max="6149" width="9.453125" style="524" customWidth="1"/>
    <col min="6150" max="6150" width="9.6328125" style="524" customWidth="1"/>
    <col min="6151" max="6151" width="9.90625" style="524" customWidth="1"/>
    <col min="6152" max="6152" width="9" style="524"/>
    <col min="6153" max="6153" width="9.6328125" style="524" bestFit="1" customWidth="1"/>
    <col min="6154" max="6397" width="9" style="524"/>
    <col min="6398" max="6398" width="12.7265625" style="524" customWidth="1"/>
    <col min="6399" max="6399" width="24" style="524" customWidth="1"/>
    <col min="6400" max="6400" width="6.36328125" style="524" customWidth="1"/>
    <col min="6401" max="6401" width="12.7265625" style="524" customWidth="1"/>
    <col min="6402" max="6402" width="12" style="524" customWidth="1"/>
    <col min="6403" max="6403" width="10" style="524" customWidth="1"/>
    <col min="6404" max="6404" width="9.7265625" style="524" customWidth="1"/>
    <col min="6405" max="6405" width="9.453125" style="524" customWidth="1"/>
    <col min="6406" max="6406" width="9.6328125" style="524" customWidth="1"/>
    <col min="6407" max="6407" width="9.90625" style="524" customWidth="1"/>
    <col min="6408" max="6408" width="9" style="524"/>
    <col min="6409" max="6409" width="9.6328125" style="524" bestFit="1" customWidth="1"/>
    <col min="6410" max="6653" width="9" style="524"/>
    <col min="6654" max="6654" width="12.7265625" style="524" customWidth="1"/>
    <col min="6655" max="6655" width="24" style="524" customWidth="1"/>
    <col min="6656" max="6656" width="6.36328125" style="524" customWidth="1"/>
    <col min="6657" max="6657" width="12.7265625" style="524" customWidth="1"/>
    <col min="6658" max="6658" width="12" style="524" customWidth="1"/>
    <col min="6659" max="6659" width="10" style="524" customWidth="1"/>
    <col min="6660" max="6660" width="9.7265625" style="524" customWidth="1"/>
    <col min="6661" max="6661" width="9.453125" style="524" customWidth="1"/>
    <col min="6662" max="6662" width="9.6328125" style="524" customWidth="1"/>
    <col min="6663" max="6663" width="9.90625" style="524" customWidth="1"/>
    <col min="6664" max="6664" width="9" style="524"/>
    <col min="6665" max="6665" width="9.6328125" style="524" bestFit="1" customWidth="1"/>
    <col min="6666" max="6909" width="9" style="524"/>
    <col min="6910" max="6910" width="12.7265625" style="524" customWidth="1"/>
    <col min="6911" max="6911" width="24" style="524" customWidth="1"/>
    <col min="6912" max="6912" width="6.36328125" style="524" customWidth="1"/>
    <col min="6913" max="6913" width="12.7265625" style="524" customWidth="1"/>
    <col min="6914" max="6914" width="12" style="524" customWidth="1"/>
    <col min="6915" max="6915" width="10" style="524" customWidth="1"/>
    <col min="6916" max="6916" width="9.7265625" style="524" customWidth="1"/>
    <col min="6917" max="6917" width="9.453125" style="524" customWidth="1"/>
    <col min="6918" max="6918" width="9.6328125" style="524" customWidth="1"/>
    <col min="6919" max="6919" width="9.90625" style="524" customWidth="1"/>
    <col min="6920" max="6920" width="9" style="524"/>
    <col min="6921" max="6921" width="9.6328125" style="524" bestFit="1" customWidth="1"/>
    <col min="6922" max="7165" width="9" style="524"/>
    <col min="7166" max="7166" width="12.7265625" style="524" customWidth="1"/>
    <col min="7167" max="7167" width="24" style="524" customWidth="1"/>
    <col min="7168" max="7168" width="6.36328125" style="524" customWidth="1"/>
    <col min="7169" max="7169" width="12.7265625" style="524" customWidth="1"/>
    <col min="7170" max="7170" width="12" style="524" customWidth="1"/>
    <col min="7171" max="7171" width="10" style="524" customWidth="1"/>
    <col min="7172" max="7172" width="9.7265625" style="524" customWidth="1"/>
    <col min="7173" max="7173" width="9.453125" style="524" customWidth="1"/>
    <col min="7174" max="7174" width="9.6328125" style="524" customWidth="1"/>
    <col min="7175" max="7175" width="9.90625" style="524" customWidth="1"/>
    <col min="7176" max="7176" width="9" style="524"/>
    <col min="7177" max="7177" width="9.6328125" style="524" bestFit="1" customWidth="1"/>
    <col min="7178" max="7421" width="9" style="524"/>
    <col min="7422" max="7422" width="12.7265625" style="524" customWidth="1"/>
    <col min="7423" max="7423" width="24" style="524" customWidth="1"/>
    <col min="7424" max="7424" width="6.36328125" style="524" customWidth="1"/>
    <col min="7425" max="7425" width="12.7265625" style="524" customWidth="1"/>
    <col min="7426" max="7426" width="12" style="524" customWidth="1"/>
    <col min="7427" max="7427" width="10" style="524" customWidth="1"/>
    <col min="7428" max="7428" width="9.7265625" style="524" customWidth="1"/>
    <col min="7429" max="7429" width="9.453125" style="524" customWidth="1"/>
    <col min="7430" max="7430" width="9.6328125" style="524" customWidth="1"/>
    <col min="7431" max="7431" width="9.90625" style="524" customWidth="1"/>
    <col min="7432" max="7432" width="9" style="524"/>
    <col min="7433" max="7433" width="9.6328125" style="524" bestFit="1" customWidth="1"/>
    <col min="7434" max="7677" width="9" style="524"/>
    <col min="7678" max="7678" width="12.7265625" style="524" customWidth="1"/>
    <col min="7679" max="7679" width="24" style="524" customWidth="1"/>
    <col min="7680" max="7680" width="6.36328125" style="524" customWidth="1"/>
    <col min="7681" max="7681" width="12.7265625" style="524" customWidth="1"/>
    <col min="7682" max="7682" width="12" style="524" customWidth="1"/>
    <col min="7683" max="7683" width="10" style="524" customWidth="1"/>
    <col min="7684" max="7684" width="9.7265625" style="524" customWidth="1"/>
    <col min="7685" max="7685" width="9.453125" style="524" customWidth="1"/>
    <col min="7686" max="7686" width="9.6328125" style="524" customWidth="1"/>
    <col min="7687" max="7687" width="9.90625" style="524" customWidth="1"/>
    <col min="7688" max="7688" width="9" style="524"/>
    <col min="7689" max="7689" width="9.6328125" style="524" bestFit="1" customWidth="1"/>
    <col min="7690" max="7933" width="9" style="524"/>
    <col min="7934" max="7934" width="12.7265625" style="524" customWidth="1"/>
    <col min="7935" max="7935" width="24" style="524" customWidth="1"/>
    <col min="7936" max="7936" width="6.36328125" style="524" customWidth="1"/>
    <col min="7937" max="7937" width="12.7265625" style="524" customWidth="1"/>
    <col min="7938" max="7938" width="12" style="524" customWidth="1"/>
    <col min="7939" max="7939" width="10" style="524" customWidth="1"/>
    <col min="7940" max="7940" width="9.7265625" style="524" customWidth="1"/>
    <col min="7941" max="7941" width="9.453125" style="524" customWidth="1"/>
    <col min="7942" max="7942" width="9.6328125" style="524" customWidth="1"/>
    <col min="7943" max="7943" width="9.90625" style="524" customWidth="1"/>
    <col min="7944" max="7944" width="9" style="524"/>
    <col min="7945" max="7945" width="9.6328125" style="524" bestFit="1" customWidth="1"/>
    <col min="7946" max="8189" width="9" style="524"/>
    <col min="8190" max="8190" width="12.7265625" style="524" customWidth="1"/>
    <col min="8191" max="8191" width="24" style="524" customWidth="1"/>
    <col min="8192" max="8192" width="6.36328125" style="524" customWidth="1"/>
    <col min="8193" max="8193" width="12.7265625" style="524" customWidth="1"/>
    <col min="8194" max="8194" width="12" style="524" customWidth="1"/>
    <col min="8195" max="8195" width="10" style="524" customWidth="1"/>
    <col min="8196" max="8196" width="9.7265625" style="524" customWidth="1"/>
    <col min="8197" max="8197" width="9.453125" style="524" customWidth="1"/>
    <col min="8198" max="8198" width="9.6328125" style="524" customWidth="1"/>
    <col min="8199" max="8199" width="9.90625" style="524" customWidth="1"/>
    <col min="8200" max="8200" width="9" style="524"/>
    <col min="8201" max="8201" width="9.6328125" style="524" bestFit="1" customWidth="1"/>
    <col min="8202" max="8445" width="9" style="524"/>
    <col min="8446" max="8446" width="12.7265625" style="524" customWidth="1"/>
    <col min="8447" max="8447" width="24" style="524" customWidth="1"/>
    <col min="8448" max="8448" width="6.36328125" style="524" customWidth="1"/>
    <col min="8449" max="8449" width="12.7265625" style="524" customWidth="1"/>
    <col min="8450" max="8450" width="12" style="524" customWidth="1"/>
    <col min="8451" max="8451" width="10" style="524" customWidth="1"/>
    <col min="8452" max="8452" width="9.7265625" style="524" customWidth="1"/>
    <col min="8453" max="8453" width="9.453125" style="524" customWidth="1"/>
    <col min="8454" max="8454" width="9.6328125" style="524" customWidth="1"/>
    <col min="8455" max="8455" width="9.90625" style="524" customWidth="1"/>
    <col min="8456" max="8456" width="9" style="524"/>
    <col min="8457" max="8457" width="9.6328125" style="524" bestFit="1" customWidth="1"/>
    <col min="8458" max="8701" width="9" style="524"/>
    <col min="8702" max="8702" width="12.7265625" style="524" customWidth="1"/>
    <col min="8703" max="8703" width="24" style="524" customWidth="1"/>
    <col min="8704" max="8704" width="6.36328125" style="524" customWidth="1"/>
    <col min="8705" max="8705" width="12.7265625" style="524" customWidth="1"/>
    <col min="8706" max="8706" width="12" style="524" customWidth="1"/>
    <col min="8707" max="8707" width="10" style="524" customWidth="1"/>
    <col min="8708" max="8708" width="9.7265625" style="524" customWidth="1"/>
    <col min="8709" max="8709" width="9.453125" style="524" customWidth="1"/>
    <col min="8710" max="8710" width="9.6328125" style="524" customWidth="1"/>
    <col min="8711" max="8711" width="9.90625" style="524" customWidth="1"/>
    <col min="8712" max="8712" width="9" style="524"/>
    <col min="8713" max="8713" width="9.6328125" style="524" bestFit="1" customWidth="1"/>
    <col min="8714" max="8957" width="9" style="524"/>
    <col min="8958" max="8958" width="12.7265625" style="524" customWidth="1"/>
    <col min="8959" max="8959" width="24" style="524" customWidth="1"/>
    <col min="8960" max="8960" width="6.36328125" style="524" customWidth="1"/>
    <col min="8961" max="8961" width="12.7265625" style="524" customWidth="1"/>
    <col min="8962" max="8962" width="12" style="524" customWidth="1"/>
    <col min="8963" max="8963" width="10" style="524" customWidth="1"/>
    <col min="8964" max="8964" width="9.7265625" style="524" customWidth="1"/>
    <col min="8965" max="8965" width="9.453125" style="524" customWidth="1"/>
    <col min="8966" max="8966" width="9.6328125" style="524" customWidth="1"/>
    <col min="8967" max="8967" width="9.90625" style="524" customWidth="1"/>
    <col min="8968" max="8968" width="9" style="524"/>
    <col min="8969" max="8969" width="9.6328125" style="524" bestFit="1" customWidth="1"/>
    <col min="8970" max="9213" width="9" style="524"/>
    <col min="9214" max="9214" width="12.7265625" style="524" customWidth="1"/>
    <col min="9215" max="9215" width="24" style="524" customWidth="1"/>
    <col min="9216" max="9216" width="6.36328125" style="524" customWidth="1"/>
    <col min="9217" max="9217" width="12.7265625" style="524" customWidth="1"/>
    <col min="9218" max="9218" width="12" style="524" customWidth="1"/>
    <col min="9219" max="9219" width="10" style="524" customWidth="1"/>
    <col min="9220" max="9220" width="9.7265625" style="524" customWidth="1"/>
    <col min="9221" max="9221" width="9.453125" style="524" customWidth="1"/>
    <col min="9222" max="9222" width="9.6328125" style="524" customWidth="1"/>
    <col min="9223" max="9223" width="9.90625" style="524" customWidth="1"/>
    <col min="9224" max="9224" width="9" style="524"/>
    <col min="9225" max="9225" width="9.6328125" style="524" bestFit="1" customWidth="1"/>
    <col min="9226" max="9469" width="9" style="524"/>
    <col min="9470" max="9470" width="12.7265625" style="524" customWidth="1"/>
    <col min="9471" max="9471" width="24" style="524" customWidth="1"/>
    <col min="9472" max="9472" width="6.36328125" style="524" customWidth="1"/>
    <col min="9473" max="9473" width="12.7265625" style="524" customWidth="1"/>
    <col min="9474" max="9474" width="12" style="524" customWidth="1"/>
    <col min="9475" max="9475" width="10" style="524" customWidth="1"/>
    <col min="9476" max="9476" width="9.7265625" style="524" customWidth="1"/>
    <col min="9477" max="9477" width="9.453125" style="524" customWidth="1"/>
    <col min="9478" max="9478" width="9.6328125" style="524" customWidth="1"/>
    <col min="9479" max="9479" width="9.90625" style="524" customWidth="1"/>
    <col min="9480" max="9480" width="9" style="524"/>
    <col min="9481" max="9481" width="9.6328125" style="524" bestFit="1" customWidth="1"/>
    <col min="9482" max="9725" width="9" style="524"/>
    <col min="9726" max="9726" width="12.7265625" style="524" customWidth="1"/>
    <col min="9727" max="9727" width="24" style="524" customWidth="1"/>
    <col min="9728" max="9728" width="6.36328125" style="524" customWidth="1"/>
    <col min="9729" max="9729" width="12.7265625" style="524" customWidth="1"/>
    <col min="9730" max="9730" width="12" style="524" customWidth="1"/>
    <col min="9731" max="9731" width="10" style="524" customWidth="1"/>
    <col min="9732" max="9732" width="9.7265625" style="524" customWidth="1"/>
    <col min="9733" max="9733" width="9.453125" style="524" customWidth="1"/>
    <col min="9734" max="9734" width="9.6328125" style="524" customWidth="1"/>
    <col min="9735" max="9735" width="9.90625" style="524" customWidth="1"/>
    <col min="9736" max="9736" width="9" style="524"/>
    <col min="9737" max="9737" width="9.6328125" style="524" bestFit="1" customWidth="1"/>
    <col min="9738" max="9981" width="9" style="524"/>
    <col min="9982" max="9982" width="12.7265625" style="524" customWidth="1"/>
    <col min="9983" max="9983" width="24" style="524" customWidth="1"/>
    <col min="9984" max="9984" width="6.36328125" style="524" customWidth="1"/>
    <col min="9985" max="9985" width="12.7265625" style="524" customWidth="1"/>
    <col min="9986" max="9986" width="12" style="524" customWidth="1"/>
    <col min="9987" max="9987" width="10" style="524" customWidth="1"/>
    <col min="9988" max="9988" width="9.7265625" style="524" customWidth="1"/>
    <col min="9989" max="9989" width="9.453125" style="524" customWidth="1"/>
    <col min="9990" max="9990" width="9.6328125" style="524" customWidth="1"/>
    <col min="9991" max="9991" width="9.90625" style="524" customWidth="1"/>
    <col min="9992" max="9992" width="9" style="524"/>
    <col min="9993" max="9993" width="9.6328125" style="524" bestFit="1" customWidth="1"/>
    <col min="9994" max="10237" width="9" style="524"/>
    <col min="10238" max="10238" width="12.7265625" style="524" customWidth="1"/>
    <col min="10239" max="10239" width="24" style="524" customWidth="1"/>
    <col min="10240" max="10240" width="6.36328125" style="524" customWidth="1"/>
    <col min="10241" max="10241" width="12.7265625" style="524" customWidth="1"/>
    <col min="10242" max="10242" width="12" style="524" customWidth="1"/>
    <col min="10243" max="10243" width="10" style="524" customWidth="1"/>
    <col min="10244" max="10244" width="9.7265625" style="524" customWidth="1"/>
    <col min="10245" max="10245" width="9.453125" style="524" customWidth="1"/>
    <col min="10246" max="10246" width="9.6328125" style="524" customWidth="1"/>
    <col min="10247" max="10247" width="9.90625" style="524" customWidth="1"/>
    <col min="10248" max="10248" width="9" style="524"/>
    <col min="10249" max="10249" width="9.6328125" style="524" bestFit="1" customWidth="1"/>
    <col min="10250" max="10493" width="9" style="524"/>
    <col min="10494" max="10494" width="12.7265625" style="524" customWidth="1"/>
    <col min="10495" max="10495" width="24" style="524" customWidth="1"/>
    <col min="10496" max="10496" width="6.36328125" style="524" customWidth="1"/>
    <col min="10497" max="10497" width="12.7265625" style="524" customWidth="1"/>
    <col min="10498" max="10498" width="12" style="524" customWidth="1"/>
    <col min="10499" max="10499" width="10" style="524" customWidth="1"/>
    <col min="10500" max="10500" width="9.7265625" style="524" customWidth="1"/>
    <col min="10501" max="10501" width="9.453125" style="524" customWidth="1"/>
    <col min="10502" max="10502" width="9.6328125" style="524" customWidth="1"/>
    <col min="10503" max="10503" width="9.90625" style="524" customWidth="1"/>
    <col min="10504" max="10504" width="9" style="524"/>
    <col min="10505" max="10505" width="9.6328125" style="524" bestFit="1" customWidth="1"/>
    <col min="10506" max="10749" width="9" style="524"/>
    <col min="10750" max="10750" width="12.7265625" style="524" customWidth="1"/>
    <col min="10751" max="10751" width="24" style="524" customWidth="1"/>
    <col min="10752" max="10752" width="6.36328125" style="524" customWidth="1"/>
    <col min="10753" max="10753" width="12.7265625" style="524" customWidth="1"/>
    <col min="10754" max="10754" width="12" style="524" customWidth="1"/>
    <col min="10755" max="10755" width="10" style="524" customWidth="1"/>
    <col min="10756" max="10756" width="9.7265625" style="524" customWidth="1"/>
    <col min="10757" max="10757" width="9.453125" style="524" customWidth="1"/>
    <col min="10758" max="10758" width="9.6328125" style="524" customWidth="1"/>
    <col min="10759" max="10759" width="9.90625" style="524" customWidth="1"/>
    <col min="10760" max="10760" width="9" style="524"/>
    <col min="10761" max="10761" width="9.6328125" style="524" bestFit="1" customWidth="1"/>
    <col min="10762" max="11005" width="9" style="524"/>
    <col min="11006" max="11006" width="12.7265625" style="524" customWidth="1"/>
    <col min="11007" max="11007" width="24" style="524" customWidth="1"/>
    <col min="11008" max="11008" width="6.36328125" style="524" customWidth="1"/>
    <col min="11009" max="11009" width="12.7265625" style="524" customWidth="1"/>
    <col min="11010" max="11010" width="12" style="524" customWidth="1"/>
    <col min="11011" max="11011" width="10" style="524" customWidth="1"/>
    <col min="11012" max="11012" width="9.7265625" style="524" customWidth="1"/>
    <col min="11013" max="11013" width="9.453125" style="524" customWidth="1"/>
    <col min="11014" max="11014" width="9.6328125" style="524" customWidth="1"/>
    <col min="11015" max="11015" width="9.90625" style="524" customWidth="1"/>
    <col min="11016" max="11016" width="9" style="524"/>
    <col min="11017" max="11017" width="9.6328125" style="524" bestFit="1" customWidth="1"/>
    <col min="11018" max="11261" width="9" style="524"/>
    <col min="11262" max="11262" width="12.7265625" style="524" customWidth="1"/>
    <col min="11263" max="11263" width="24" style="524" customWidth="1"/>
    <col min="11264" max="11264" width="6.36328125" style="524" customWidth="1"/>
    <col min="11265" max="11265" width="12.7265625" style="524" customWidth="1"/>
    <col min="11266" max="11266" width="12" style="524" customWidth="1"/>
    <col min="11267" max="11267" width="10" style="524" customWidth="1"/>
    <col min="11268" max="11268" width="9.7265625" style="524" customWidth="1"/>
    <col min="11269" max="11269" width="9.453125" style="524" customWidth="1"/>
    <col min="11270" max="11270" width="9.6328125" style="524" customWidth="1"/>
    <col min="11271" max="11271" width="9.90625" style="524" customWidth="1"/>
    <col min="11272" max="11272" width="9" style="524"/>
    <col min="11273" max="11273" width="9.6328125" style="524" bestFit="1" customWidth="1"/>
    <col min="11274" max="11517" width="9" style="524"/>
    <col min="11518" max="11518" width="12.7265625" style="524" customWidth="1"/>
    <col min="11519" max="11519" width="24" style="524" customWidth="1"/>
    <col min="11520" max="11520" width="6.36328125" style="524" customWidth="1"/>
    <col min="11521" max="11521" width="12.7265625" style="524" customWidth="1"/>
    <col min="11522" max="11522" width="12" style="524" customWidth="1"/>
    <col min="11523" max="11523" width="10" style="524" customWidth="1"/>
    <col min="11524" max="11524" width="9.7265625" style="524" customWidth="1"/>
    <col min="11525" max="11525" width="9.453125" style="524" customWidth="1"/>
    <col min="11526" max="11526" width="9.6328125" style="524" customWidth="1"/>
    <col min="11527" max="11527" width="9.90625" style="524" customWidth="1"/>
    <col min="11528" max="11528" width="9" style="524"/>
    <col min="11529" max="11529" width="9.6328125" style="524" bestFit="1" customWidth="1"/>
    <col min="11530" max="11773" width="9" style="524"/>
    <col min="11774" max="11774" width="12.7265625" style="524" customWidth="1"/>
    <col min="11775" max="11775" width="24" style="524" customWidth="1"/>
    <col min="11776" max="11776" width="6.36328125" style="524" customWidth="1"/>
    <col min="11777" max="11777" width="12.7265625" style="524" customWidth="1"/>
    <col min="11778" max="11778" width="12" style="524" customWidth="1"/>
    <col min="11779" max="11779" width="10" style="524" customWidth="1"/>
    <col min="11780" max="11780" width="9.7265625" style="524" customWidth="1"/>
    <col min="11781" max="11781" width="9.453125" style="524" customWidth="1"/>
    <col min="11782" max="11782" width="9.6328125" style="524" customWidth="1"/>
    <col min="11783" max="11783" width="9.90625" style="524" customWidth="1"/>
    <col min="11784" max="11784" width="9" style="524"/>
    <col min="11785" max="11785" width="9.6328125" style="524" bestFit="1" customWidth="1"/>
    <col min="11786" max="12029" width="9" style="524"/>
    <col min="12030" max="12030" width="12.7265625" style="524" customWidth="1"/>
    <col min="12031" max="12031" width="24" style="524" customWidth="1"/>
    <col min="12032" max="12032" width="6.36328125" style="524" customWidth="1"/>
    <col min="12033" max="12033" width="12.7265625" style="524" customWidth="1"/>
    <col min="12034" max="12034" width="12" style="524" customWidth="1"/>
    <col min="12035" max="12035" width="10" style="524" customWidth="1"/>
    <col min="12036" max="12036" width="9.7265625" style="524" customWidth="1"/>
    <col min="12037" max="12037" width="9.453125" style="524" customWidth="1"/>
    <col min="12038" max="12038" width="9.6328125" style="524" customWidth="1"/>
    <col min="12039" max="12039" width="9.90625" style="524" customWidth="1"/>
    <col min="12040" max="12040" width="9" style="524"/>
    <col min="12041" max="12041" width="9.6328125" style="524" bestFit="1" customWidth="1"/>
    <col min="12042" max="12285" width="9" style="524"/>
    <col min="12286" max="12286" width="12.7265625" style="524" customWidth="1"/>
    <col min="12287" max="12287" width="24" style="524" customWidth="1"/>
    <col min="12288" max="12288" width="6.36328125" style="524" customWidth="1"/>
    <col min="12289" max="12289" width="12.7265625" style="524" customWidth="1"/>
    <col min="12290" max="12290" width="12" style="524" customWidth="1"/>
    <col min="12291" max="12291" width="10" style="524" customWidth="1"/>
    <col min="12292" max="12292" width="9.7265625" style="524" customWidth="1"/>
    <col min="12293" max="12293" width="9.453125" style="524" customWidth="1"/>
    <col min="12294" max="12294" width="9.6328125" style="524" customWidth="1"/>
    <col min="12295" max="12295" width="9.90625" style="524" customWidth="1"/>
    <col min="12296" max="12296" width="9" style="524"/>
    <col min="12297" max="12297" width="9.6328125" style="524" bestFit="1" customWidth="1"/>
    <col min="12298" max="12541" width="9" style="524"/>
    <col min="12542" max="12542" width="12.7265625" style="524" customWidth="1"/>
    <col min="12543" max="12543" width="24" style="524" customWidth="1"/>
    <col min="12544" max="12544" width="6.36328125" style="524" customWidth="1"/>
    <col min="12545" max="12545" width="12.7265625" style="524" customWidth="1"/>
    <col min="12546" max="12546" width="12" style="524" customWidth="1"/>
    <col min="12547" max="12547" width="10" style="524" customWidth="1"/>
    <col min="12548" max="12548" width="9.7265625" style="524" customWidth="1"/>
    <col min="12549" max="12549" width="9.453125" style="524" customWidth="1"/>
    <col min="12550" max="12550" width="9.6328125" style="524" customWidth="1"/>
    <col min="12551" max="12551" width="9.90625" style="524" customWidth="1"/>
    <col min="12552" max="12552" width="9" style="524"/>
    <col min="12553" max="12553" width="9.6328125" style="524" bestFit="1" customWidth="1"/>
    <col min="12554" max="12797" width="9" style="524"/>
    <col min="12798" max="12798" width="12.7265625" style="524" customWidth="1"/>
    <col min="12799" max="12799" width="24" style="524" customWidth="1"/>
    <col min="12800" max="12800" width="6.36328125" style="524" customWidth="1"/>
    <col min="12801" max="12801" width="12.7265625" style="524" customWidth="1"/>
    <col min="12802" max="12802" width="12" style="524" customWidth="1"/>
    <col min="12803" max="12803" width="10" style="524" customWidth="1"/>
    <col min="12804" max="12804" width="9.7265625" style="524" customWidth="1"/>
    <col min="12805" max="12805" width="9.453125" style="524" customWidth="1"/>
    <col min="12806" max="12806" width="9.6328125" style="524" customWidth="1"/>
    <col min="12807" max="12807" width="9.90625" style="524" customWidth="1"/>
    <col min="12808" max="12808" width="9" style="524"/>
    <col min="12809" max="12809" width="9.6328125" style="524" bestFit="1" customWidth="1"/>
    <col min="12810" max="13053" width="9" style="524"/>
    <col min="13054" max="13054" width="12.7265625" style="524" customWidth="1"/>
    <col min="13055" max="13055" width="24" style="524" customWidth="1"/>
    <col min="13056" max="13056" width="6.36328125" style="524" customWidth="1"/>
    <col min="13057" max="13057" width="12.7265625" style="524" customWidth="1"/>
    <col min="13058" max="13058" width="12" style="524" customWidth="1"/>
    <col min="13059" max="13059" width="10" style="524" customWidth="1"/>
    <col min="13060" max="13060" width="9.7265625" style="524" customWidth="1"/>
    <col min="13061" max="13061" width="9.453125" style="524" customWidth="1"/>
    <col min="13062" max="13062" width="9.6328125" style="524" customWidth="1"/>
    <col min="13063" max="13063" width="9.90625" style="524" customWidth="1"/>
    <col min="13064" max="13064" width="9" style="524"/>
    <col min="13065" max="13065" width="9.6328125" style="524" bestFit="1" customWidth="1"/>
    <col min="13066" max="13309" width="9" style="524"/>
    <col min="13310" max="13310" width="12.7265625" style="524" customWidth="1"/>
    <col min="13311" max="13311" width="24" style="524" customWidth="1"/>
    <col min="13312" max="13312" width="6.36328125" style="524" customWidth="1"/>
    <col min="13313" max="13313" width="12.7265625" style="524" customWidth="1"/>
    <col min="13314" max="13314" width="12" style="524" customWidth="1"/>
    <col min="13315" max="13315" width="10" style="524" customWidth="1"/>
    <col min="13316" max="13316" width="9.7265625" style="524" customWidth="1"/>
    <col min="13317" max="13317" width="9.453125" style="524" customWidth="1"/>
    <col min="13318" max="13318" width="9.6328125" style="524" customWidth="1"/>
    <col min="13319" max="13319" width="9.90625" style="524" customWidth="1"/>
    <col min="13320" max="13320" width="9" style="524"/>
    <col min="13321" max="13321" width="9.6328125" style="524" bestFit="1" customWidth="1"/>
    <col min="13322" max="13565" width="9" style="524"/>
    <col min="13566" max="13566" width="12.7265625" style="524" customWidth="1"/>
    <col min="13567" max="13567" width="24" style="524" customWidth="1"/>
    <col min="13568" max="13568" width="6.36328125" style="524" customWidth="1"/>
    <col min="13569" max="13569" width="12.7265625" style="524" customWidth="1"/>
    <col min="13570" max="13570" width="12" style="524" customWidth="1"/>
    <col min="13571" max="13571" width="10" style="524" customWidth="1"/>
    <col min="13572" max="13572" width="9.7265625" style="524" customWidth="1"/>
    <col min="13573" max="13573" width="9.453125" style="524" customWidth="1"/>
    <col min="13574" max="13574" width="9.6328125" style="524" customWidth="1"/>
    <col min="13575" max="13575" width="9.90625" style="524" customWidth="1"/>
    <col min="13576" max="13576" width="9" style="524"/>
    <col min="13577" max="13577" width="9.6328125" style="524" bestFit="1" customWidth="1"/>
    <col min="13578" max="13821" width="9" style="524"/>
    <col min="13822" max="13822" width="12.7265625" style="524" customWidth="1"/>
    <col min="13823" max="13823" width="24" style="524" customWidth="1"/>
    <col min="13824" max="13824" width="6.36328125" style="524" customWidth="1"/>
    <col min="13825" max="13825" width="12.7265625" style="524" customWidth="1"/>
    <col min="13826" max="13826" width="12" style="524" customWidth="1"/>
    <col min="13827" max="13827" width="10" style="524" customWidth="1"/>
    <col min="13828" max="13828" width="9.7265625" style="524" customWidth="1"/>
    <col min="13829" max="13829" width="9.453125" style="524" customWidth="1"/>
    <col min="13830" max="13830" width="9.6328125" style="524" customWidth="1"/>
    <col min="13831" max="13831" width="9.90625" style="524" customWidth="1"/>
    <col min="13832" max="13832" width="9" style="524"/>
    <col min="13833" max="13833" width="9.6328125" style="524" bestFit="1" customWidth="1"/>
    <col min="13834" max="14077" width="9" style="524"/>
    <col min="14078" max="14078" width="12.7265625" style="524" customWidth="1"/>
    <col min="14079" max="14079" width="24" style="524" customWidth="1"/>
    <col min="14080" max="14080" width="6.36328125" style="524" customWidth="1"/>
    <col min="14081" max="14081" width="12.7265625" style="524" customWidth="1"/>
    <col min="14082" max="14082" width="12" style="524" customWidth="1"/>
    <col min="14083" max="14083" width="10" style="524" customWidth="1"/>
    <col min="14084" max="14084" width="9.7265625" style="524" customWidth="1"/>
    <col min="14085" max="14085" width="9.453125" style="524" customWidth="1"/>
    <col min="14086" max="14086" width="9.6328125" style="524" customWidth="1"/>
    <col min="14087" max="14087" width="9.90625" style="524" customWidth="1"/>
    <col min="14088" max="14088" width="9" style="524"/>
    <col min="14089" max="14089" width="9.6328125" style="524" bestFit="1" customWidth="1"/>
    <col min="14090" max="14333" width="9" style="524"/>
    <col min="14334" max="14334" width="12.7265625" style="524" customWidth="1"/>
    <col min="14335" max="14335" width="24" style="524" customWidth="1"/>
    <col min="14336" max="14336" width="6.36328125" style="524" customWidth="1"/>
    <col min="14337" max="14337" width="12.7265625" style="524" customWidth="1"/>
    <col min="14338" max="14338" width="12" style="524" customWidth="1"/>
    <col min="14339" max="14339" width="10" style="524" customWidth="1"/>
    <col min="14340" max="14340" width="9.7265625" style="524" customWidth="1"/>
    <col min="14341" max="14341" width="9.453125" style="524" customWidth="1"/>
    <col min="14342" max="14342" width="9.6328125" style="524" customWidth="1"/>
    <col min="14343" max="14343" width="9.90625" style="524" customWidth="1"/>
    <col min="14344" max="14344" width="9" style="524"/>
    <col min="14345" max="14345" width="9.6328125" style="524" bestFit="1" customWidth="1"/>
    <col min="14346" max="14589" width="9" style="524"/>
    <col min="14590" max="14590" width="12.7265625" style="524" customWidth="1"/>
    <col min="14591" max="14591" width="24" style="524" customWidth="1"/>
    <col min="14592" max="14592" width="6.36328125" style="524" customWidth="1"/>
    <col min="14593" max="14593" width="12.7265625" style="524" customWidth="1"/>
    <col min="14594" max="14594" width="12" style="524" customWidth="1"/>
    <col min="14595" max="14595" width="10" style="524" customWidth="1"/>
    <col min="14596" max="14596" width="9.7265625" style="524" customWidth="1"/>
    <col min="14597" max="14597" width="9.453125" style="524" customWidth="1"/>
    <col min="14598" max="14598" width="9.6328125" style="524" customWidth="1"/>
    <col min="14599" max="14599" width="9.90625" style="524" customWidth="1"/>
    <col min="14600" max="14600" width="9" style="524"/>
    <col min="14601" max="14601" width="9.6328125" style="524" bestFit="1" customWidth="1"/>
    <col min="14602" max="14845" width="9" style="524"/>
    <col min="14846" max="14846" width="12.7265625" style="524" customWidth="1"/>
    <col min="14847" max="14847" width="24" style="524" customWidth="1"/>
    <col min="14848" max="14848" width="6.36328125" style="524" customWidth="1"/>
    <col min="14849" max="14849" width="12.7265625" style="524" customWidth="1"/>
    <col min="14850" max="14850" width="12" style="524" customWidth="1"/>
    <col min="14851" max="14851" width="10" style="524" customWidth="1"/>
    <col min="14852" max="14852" width="9.7265625" style="524" customWidth="1"/>
    <col min="14853" max="14853" width="9.453125" style="524" customWidth="1"/>
    <col min="14854" max="14854" width="9.6328125" style="524" customWidth="1"/>
    <col min="14855" max="14855" width="9.90625" style="524" customWidth="1"/>
    <col min="14856" max="14856" width="9" style="524"/>
    <col min="14857" max="14857" width="9.6328125" style="524" bestFit="1" customWidth="1"/>
    <col min="14858" max="15101" width="9" style="524"/>
    <col min="15102" max="15102" width="12.7265625" style="524" customWidth="1"/>
    <col min="15103" max="15103" width="24" style="524" customWidth="1"/>
    <col min="15104" max="15104" width="6.36328125" style="524" customWidth="1"/>
    <col min="15105" max="15105" width="12.7265625" style="524" customWidth="1"/>
    <col min="15106" max="15106" width="12" style="524" customWidth="1"/>
    <col min="15107" max="15107" width="10" style="524" customWidth="1"/>
    <col min="15108" max="15108" width="9.7265625" style="524" customWidth="1"/>
    <col min="15109" max="15109" width="9.453125" style="524" customWidth="1"/>
    <col min="15110" max="15110" width="9.6328125" style="524" customWidth="1"/>
    <col min="15111" max="15111" width="9.90625" style="524" customWidth="1"/>
    <col min="15112" max="15112" width="9" style="524"/>
    <col min="15113" max="15113" width="9.6328125" style="524" bestFit="1" customWidth="1"/>
    <col min="15114" max="15357" width="9" style="524"/>
    <col min="15358" max="15358" width="12.7265625" style="524" customWidth="1"/>
    <col min="15359" max="15359" width="24" style="524" customWidth="1"/>
    <col min="15360" max="15360" width="6.36328125" style="524" customWidth="1"/>
    <col min="15361" max="15361" width="12.7265625" style="524" customWidth="1"/>
    <col min="15362" max="15362" width="12" style="524" customWidth="1"/>
    <col min="15363" max="15363" width="10" style="524" customWidth="1"/>
    <col min="15364" max="15364" width="9.7265625" style="524" customWidth="1"/>
    <col min="15365" max="15365" width="9.453125" style="524" customWidth="1"/>
    <col min="15366" max="15366" width="9.6328125" style="524" customWidth="1"/>
    <col min="15367" max="15367" width="9.90625" style="524" customWidth="1"/>
    <col min="15368" max="15368" width="9" style="524"/>
    <col min="15369" max="15369" width="9.6328125" style="524" bestFit="1" customWidth="1"/>
    <col min="15370" max="15613" width="9" style="524"/>
    <col min="15614" max="15614" width="12.7265625" style="524" customWidth="1"/>
    <col min="15615" max="15615" width="24" style="524" customWidth="1"/>
    <col min="15616" max="15616" width="6.36328125" style="524" customWidth="1"/>
    <col min="15617" max="15617" width="12.7265625" style="524" customWidth="1"/>
    <col min="15618" max="15618" width="12" style="524" customWidth="1"/>
    <col min="15619" max="15619" width="10" style="524" customWidth="1"/>
    <col min="15620" max="15620" width="9.7265625" style="524" customWidth="1"/>
    <col min="15621" max="15621" width="9.453125" style="524" customWidth="1"/>
    <col min="15622" max="15622" width="9.6328125" style="524" customWidth="1"/>
    <col min="15623" max="15623" width="9.90625" style="524" customWidth="1"/>
    <col min="15624" max="15624" width="9" style="524"/>
    <col min="15625" max="15625" width="9.6328125" style="524" bestFit="1" customWidth="1"/>
    <col min="15626" max="15869" width="9" style="524"/>
    <col min="15870" max="15870" width="12.7265625" style="524" customWidth="1"/>
    <col min="15871" max="15871" width="24" style="524" customWidth="1"/>
    <col min="15872" max="15872" width="6.36328125" style="524" customWidth="1"/>
    <col min="15873" max="15873" width="12.7265625" style="524" customWidth="1"/>
    <col min="15874" max="15874" width="12" style="524" customWidth="1"/>
    <col min="15875" max="15875" width="10" style="524" customWidth="1"/>
    <col min="15876" max="15876" width="9.7265625" style="524" customWidth="1"/>
    <col min="15877" max="15877" width="9.453125" style="524" customWidth="1"/>
    <col min="15878" max="15878" width="9.6328125" style="524" customWidth="1"/>
    <col min="15879" max="15879" width="9.90625" style="524" customWidth="1"/>
    <col min="15880" max="15880" width="9" style="524"/>
    <col min="15881" max="15881" width="9.6328125" style="524" bestFit="1" customWidth="1"/>
    <col min="15882" max="16125" width="9" style="524"/>
    <col min="16126" max="16126" width="12.7265625" style="524" customWidth="1"/>
    <col min="16127" max="16127" width="24" style="524" customWidth="1"/>
    <col min="16128" max="16128" width="6.36328125" style="524" customWidth="1"/>
    <col min="16129" max="16129" width="12.7265625" style="524" customWidth="1"/>
    <col min="16130" max="16130" width="12" style="524" customWidth="1"/>
    <col min="16131" max="16131" width="10" style="524" customWidth="1"/>
    <col min="16132" max="16132" width="9.7265625" style="524" customWidth="1"/>
    <col min="16133" max="16133" width="9.453125" style="524" customWidth="1"/>
    <col min="16134" max="16134" width="9.6328125" style="524" customWidth="1"/>
    <col min="16135" max="16135" width="9.90625" style="524" customWidth="1"/>
    <col min="16136" max="16136" width="9" style="524"/>
    <col min="16137" max="16137" width="9.6328125" style="524" bestFit="1" customWidth="1"/>
    <col min="16138" max="16384" width="9" style="524"/>
  </cols>
  <sheetData>
    <row r="1" spans="1:9" ht="39" customHeight="1">
      <c r="A1" s="523" t="s">
        <v>805</v>
      </c>
      <c r="B1" s="523"/>
      <c r="C1" s="523"/>
      <c r="D1" s="523"/>
      <c r="E1" s="523"/>
      <c r="F1" s="523"/>
      <c r="G1" s="523"/>
    </row>
    <row r="2" spans="1:9" ht="18">
      <c r="A2" s="328" t="s">
        <v>758</v>
      </c>
      <c r="B2" s="525"/>
      <c r="C2" s="322"/>
      <c r="D2" s="323"/>
      <c r="E2" s="525"/>
      <c r="F2" s="525"/>
      <c r="G2" s="329"/>
    </row>
    <row r="3" spans="1:9" s="528" customFormat="1" ht="25.5" customHeight="1">
      <c r="A3" s="526" t="s">
        <v>1242</v>
      </c>
      <c r="B3" s="526"/>
      <c r="C3" s="324"/>
      <c r="D3" s="330"/>
      <c r="E3" s="330" t="s">
        <v>806</v>
      </c>
      <c r="F3" s="527">
        <v>45291</v>
      </c>
      <c r="G3" s="526" t="s">
        <v>760</v>
      </c>
    </row>
    <row r="4" spans="1:9" ht="24" customHeight="1">
      <c r="A4" s="529" t="s">
        <v>807</v>
      </c>
      <c r="B4" s="530"/>
      <c r="C4" s="531"/>
      <c r="D4" s="532" t="s">
        <v>808</v>
      </c>
      <c r="E4" s="532" t="s">
        <v>821</v>
      </c>
      <c r="F4" s="532" t="s">
        <v>1104</v>
      </c>
      <c r="G4" s="532" t="s">
        <v>823</v>
      </c>
    </row>
    <row r="5" spans="1:9" ht="24" customHeight="1">
      <c r="A5" s="533"/>
      <c r="B5" s="534"/>
      <c r="C5" s="535"/>
      <c r="D5" s="536" t="s">
        <v>809</v>
      </c>
      <c r="E5" s="536" t="s">
        <v>810</v>
      </c>
      <c r="F5" s="536" t="s">
        <v>822</v>
      </c>
      <c r="G5" s="536" t="s">
        <v>824</v>
      </c>
    </row>
    <row r="6" spans="1:9" ht="24.75" customHeight="1">
      <c r="A6" s="537" t="s">
        <v>811</v>
      </c>
      <c r="B6" s="537"/>
      <c r="C6" s="538">
        <v>1</v>
      </c>
      <c r="D6" s="325"/>
      <c r="E6" s="325"/>
      <c r="F6" s="325">
        <v>0</v>
      </c>
      <c r="G6" s="325"/>
    </row>
    <row r="7" spans="1:9" ht="24.75" customHeight="1">
      <c r="A7" s="539" t="s">
        <v>812</v>
      </c>
      <c r="B7" s="539"/>
      <c r="C7" s="540">
        <v>2</v>
      </c>
      <c r="D7" s="327"/>
      <c r="E7" s="325"/>
      <c r="F7" s="325">
        <v>0</v>
      </c>
      <c r="G7" s="325"/>
    </row>
    <row r="8" spans="1:9" ht="24.75" customHeight="1">
      <c r="A8" s="541" t="s">
        <v>813</v>
      </c>
      <c r="B8" s="542" t="s">
        <v>9</v>
      </c>
      <c r="C8" s="540">
        <v>5</v>
      </c>
      <c r="D8" s="327"/>
      <c r="E8" s="325"/>
      <c r="F8" s="325">
        <v>0</v>
      </c>
      <c r="G8" s="325"/>
    </row>
    <row r="9" spans="1:9" ht="24.75" customHeight="1">
      <c r="A9" s="541"/>
      <c r="B9" s="542" t="s">
        <v>814</v>
      </c>
      <c r="C9" s="540">
        <v>6</v>
      </c>
      <c r="D9" s="327">
        <v>0</v>
      </c>
      <c r="E9" s="325"/>
      <c r="F9" s="325">
        <v>0</v>
      </c>
      <c r="G9" s="325"/>
    </row>
    <row r="10" spans="1:9" ht="24.75" customHeight="1">
      <c r="A10" s="543"/>
      <c r="B10" s="542" t="s">
        <v>10</v>
      </c>
      <c r="C10" s="540">
        <v>7</v>
      </c>
      <c r="D10" s="327"/>
      <c r="E10" s="325"/>
      <c r="F10" s="325">
        <v>0</v>
      </c>
      <c r="G10" s="325"/>
    </row>
    <row r="11" spans="1:9" ht="24.75" customHeight="1">
      <c r="A11" s="543"/>
      <c r="B11" s="542" t="s">
        <v>815</v>
      </c>
      <c r="C11" s="540">
        <v>8</v>
      </c>
      <c r="D11" s="327"/>
      <c r="E11" s="325"/>
      <c r="F11" s="325">
        <v>0</v>
      </c>
      <c r="G11" s="325"/>
      <c r="I11" s="544">
        <v>0</v>
      </c>
    </row>
    <row r="12" spans="1:9" ht="24.75" customHeight="1">
      <c r="A12" s="543"/>
      <c r="B12" s="542" t="s">
        <v>816</v>
      </c>
      <c r="C12" s="540"/>
      <c r="D12" s="327"/>
      <c r="E12" s="325"/>
      <c r="F12" s="325">
        <v>0</v>
      </c>
      <c r="G12" s="325"/>
    </row>
    <row r="13" spans="1:9" ht="24.75" customHeight="1">
      <c r="A13" s="543"/>
      <c r="B13" s="542"/>
      <c r="C13" s="540"/>
      <c r="D13" s="327"/>
      <c r="E13" s="325"/>
      <c r="F13" s="325">
        <v>0</v>
      </c>
      <c r="G13" s="325"/>
    </row>
    <row r="14" spans="1:9" s="548" customFormat="1" ht="24.75" customHeight="1">
      <c r="A14" s="545" t="s">
        <v>12</v>
      </c>
      <c r="B14" s="546"/>
      <c r="C14" s="547">
        <v>9</v>
      </c>
      <c r="D14" s="326">
        <v>0</v>
      </c>
      <c r="E14" s="326"/>
      <c r="F14" s="326">
        <v>0</v>
      </c>
      <c r="G14" s="326"/>
    </row>
    <row r="15" spans="1:9" ht="24.75" customHeight="1">
      <c r="A15" s="549" t="s">
        <v>817</v>
      </c>
      <c r="B15" s="550"/>
      <c r="C15" s="540">
        <v>10</v>
      </c>
      <c r="D15" s="327"/>
      <c r="E15" s="327"/>
      <c r="F15" s="327">
        <v>0</v>
      </c>
      <c r="G15" s="327"/>
    </row>
    <row r="16" spans="1:9" ht="24.75" customHeight="1">
      <c r="A16" s="549" t="s">
        <v>818</v>
      </c>
      <c r="B16" s="550"/>
      <c r="C16" s="540">
        <v>11</v>
      </c>
      <c r="D16" s="327"/>
      <c r="E16" s="327"/>
      <c r="F16" s="327">
        <v>0</v>
      </c>
      <c r="G16" s="327"/>
    </row>
    <row r="17" spans="1:7" s="548" customFormat="1" ht="24.75" customHeight="1">
      <c r="A17" s="545" t="s">
        <v>819</v>
      </c>
      <c r="B17" s="546"/>
      <c r="C17" s="547">
        <v>12</v>
      </c>
      <c r="D17" s="326">
        <v>0</v>
      </c>
      <c r="E17" s="326"/>
      <c r="F17" s="326">
        <v>0</v>
      </c>
      <c r="G17" s="326"/>
    </row>
    <row r="18" spans="1:7" s="548" customFormat="1" ht="24.75" customHeight="1">
      <c r="A18" s="545" t="s">
        <v>820</v>
      </c>
      <c r="B18" s="546"/>
      <c r="C18" s="547">
        <v>13</v>
      </c>
      <c r="D18" s="326">
        <v>577531.10221399995</v>
      </c>
      <c r="E18" s="326">
        <v>366058</v>
      </c>
      <c r="F18" s="326">
        <v>-211473.10221399995</v>
      </c>
      <c r="G18" s="331">
        <v>-0.36616746942858175</v>
      </c>
    </row>
    <row r="19" spans="1:7" ht="24.75" customHeight="1">
      <c r="A19" s="551" t="s">
        <v>1243</v>
      </c>
      <c r="B19" s="551"/>
      <c r="C19" s="551"/>
      <c r="D19" s="551"/>
      <c r="E19" s="551"/>
      <c r="F19" s="551"/>
      <c r="G19" s="551"/>
    </row>
    <row r="20" spans="1:7" ht="24.75" customHeight="1">
      <c r="A20" s="551"/>
      <c r="B20" s="551"/>
      <c r="C20" s="551"/>
      <c r="D20" s="551"/>
      <c r="E20" s="551"/>
      <c r="F20" s="551"/>
      <c r="G20" s="551"/>
    </row>
    <row r="21" spans="1:7" ht="18">
      <c r="A21" s="552"/>
      <c r="B21" s="552"/>
      <c r="C21" s="552"/>
      <c r="D21" s="552"/>
      <c r="E21" s="552"/>
      <c r="F21" s="552"/>
    </row>
  </sheetData>
  <mergeCells count="7">
    <mergeCell ref="A16:B16"/>
    <mergeCell ref="A17:B17"/>
    <mergeCell ref="A18:B18"/>
    <mergeCell ref="A1:G1"/>
    <mergeCell ref="A4:C5"/>
    <mergeCell ref="A14:B14"/>
    <mergeCell ref="A15:B15"/>
  </mergeCells>
  <phoneticPr fontId="2" type="noConversion"/>
  <conditionalFormatting sqref="G6:G18">
    <cfRule type="expression" dxfId="253" priority="4" stopIfTrue="1">
      <formula>AND(G6=0,I6=0)</formula>
    </cfRule>
  </conditionalFormatting>
  <conditionalFormatting sqref="F6:F17">
    <cfRule type="expression" dxfId="252" priority="5" stopIfTrue="1">
      <formula>OR(AND(D6=0,F6=0),$F$15=0)</formula>
    </cfRule>
  </conditionalFormatting>
  <conditionalFormatting sqref="D6:D18">
    <cfRule type="expression" dxfId="251" priority="7" stopIfTrue="1">
      <formula>AND(D6=0,F6=0)</formula>
    </cfRule>
  </conditionalFormatting>
  <conditionalFormatting sqref="E6:E18">
    <cfRule type="expression" dxfId="250" priority="62" stopIfTrue="1">
      <formula>AND(E6=0,#REF!=0)</formula>
    </cfRule>
  </conditionalFormatting>
  <conditionalFormatting sqref="F6:F18">
    <cfRule type="expression" dxfId="249" priority="64" stopIfTrue="1">
      <formula>AND(F6=0,G6=0)</formula>
    </cfRule>
  </conditionalFormatting>
  <dataValidations count="1">
    <dataValidation allowBlank="1" showInputMessage="1" showErrorMessage="1" prompt="输入格式：2011-12-31或11-12-31" sqref="WVK98304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F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F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F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F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F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F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F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F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F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F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F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F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F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F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F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xr:uid="{99F5E833-18D9-4A87-8F07-46A0DC2B69C4}"/>
  </dataValidations>
  <hyperlinks>
    <hyperlink ref="A2" location="项目!V1" display="项目要素表" xr:uid="{C863FE19-5239-4290-8BB1-444F6D4F24C4}"/>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07CC0-9458-4B49-A215-DDC37566D158}">
  <dimension ref="A1:H27"/>
  <sheetViews>
    <sheetView workbookViewId="0">
      <selection activeCell="H9" sqref="H9"/>
    </sheetView>
  </sheetViews>
  <sheetFormatPr defaultColWidth="9" defaultRowHeight="15.5"/>
  <cols>
    <col min="1" max="1" width="6" style="255" customWidth="1"/>
    <col min="2" max="2" width="22.6328125" style="255" customWidth="1"/>
    <col min="3" max="3" width="13.26953125" style="255" customWidth="1"/>
    <col min="4" max="4" width="14.36328125" style="255" customWidth="1"/>
    <col min="5" max="5" width="14.90625" style="255" customWidth="1"/>
    <col min="6" max="6" width="9" style="255"/>
    <col min="7" max="8" width="9.6328125" style="255" bestFit="1" customWidth="1"/>
    <col min="9" max="256" width="9" style="255"/>
    <col min="257" max="257" width="6" style="255" customWidth="1"/>
    <col min="258" max="258" width="22.6328125" style="255" customWidth="1"/>
    <col min="259" max="259" width="13.26953125" style="255" customWidth="1"/>
    <col min="260" max="260" width="14.36328125" style="255" customWidth="1"/>
    <col min="261" max="261" width="14.90625" style="255" customWidth="1"/>
    <col min="262" max="262" width="9" style="255"/>
    <col min="263" max="264" width="9.6328125" style="255" bestFit="1" customWidth="1"/>
    <col min="265" max="512" width="9" style="255"/>
    <col min="513" max="513" width="6" style="255" customWidth="1"/>
    <col min="514" max="514" width="22.6328125" style="255" customWidth="1"/>
    <col min="515" max="515" width="13.26953125" style="255" customWidth="1"/>
    <col min="516" max="516" width="14.36328125" style="255" customWidth="1"/>
    <col min="517" max="517" width="14.90625" style="255" customWidth="1"/>
    <col min="518" max="518" width="9" style="255"/>
    <col min="519" max="520" width="9.6328125" style="255" bestFit="1" customWidth="1"/>
    <col min="521" max="768" width="9" style="255"/>
    <col min="769" max="769" width="6" style="255" customWidth="1"/>
    <col min="770" max="770" width="22.6328125" style="255" customWidth="1"/>
    <col min="771" max="771" width="13.26953125" style="255" customWidth="1"/>
    <col min="772" max="772" width="14.36328125" style="255" customWidth="1"/>
    <col min="773" max="773" width="14.90625" style="255" customWidth="1"/>
    <col min="774" max="774" width="9" style="255"/>
    <col min="775" max="776" width="9.6328125" style="255" bestFit="1" customWidth="1"/>
    <col min="777" max="1024" width="9" style="255"/>
    <col min="1025" max="1025" width="6" style="255" customWidth="1"/>
    <col min="1026" max="1026" width="22.6328125" style="255" customWidth="1"/>
    <col min="1027" max="1027" width="13.26953125" style="255" customWidth="1"/>
    <col min="1028" max="1028" width="14.36328125" style="255" customWidth="1"/>
    <col min="1029" max="1029" width="14.90625" style="255" customWidth="1"/>
    <col min="1030" max="1030" width="9" style="255"/>
    <col min="1031" max="1032" width="9.6328125" style="255" bestFit="1" customWidth="1"/>
    <col min="1033" max="1280" width="9" style="255"/>
    <col min="1281" max="1281" width="6" style="255" customWidth="1"/>
    <col min="1282" max="1282" width="22.6328125" style="255" customWidth="1"/>
    <col min="1283" max="1283" width="13.26953125" style="255" customWidth="1"/>
    <col min="1284" max="1284" width="14.36328125" style="255" customWidth="1"/>
    <col min="1285" max="1285" width="14.90625" style="255" customWidth="1"/>
    <col min="1286" max="1286" width="9" style="255"/>
    <col min="1287" max="1288" width="9.6328125" style="255" bestFit="1" customWidth="1"/>
    <col min="1289" max="1536" width="9" style="255"/>
    <col min="1537" max="1537" width="6" style="255" customWidth="1"/>
    <col min="1538" max="1538" width="22.6328125" style="255" customWidth="1"/>
    <col min="1539" max="1539" width="13.26953125" style="255" customWidth="1"/>
    <col min="1540" max="1540" width="14.36328125" style="255" customWidth="1"/>
    <col min="1541" max="1541" width="14.90625" style="255" customWidth="1"/>
    <col min="1542" max="1542" width="9" style="255"/>
    <col min="1543" max="1544" width="9.6328125" style="255" bestFit="1" customWidth="1"/>
    <col min="1545" max="1792" width="9" style="255"/>
    <col min="1793" max="1793" width="6" style="255" customWidth="1"/>
    <col min="1794" max="1794" width="22.6328125" style="255" customWidth="1"/>
    <col min="1795" max="1795" width="13.26953125" style="255" customWidth="1"/>
    <col min="1796" max="1796" width="14.36328125" style="255" customWidth="1"/>
    <col min="1797" max="1797" width="14.90625" style="255" customWidth="1"/>
    <col min="1798" max="1798" width="9" style="255"/>
    <col min="1799" max="1800" width="9.6328125" style="255" bestFit="1" customWidth="1"/>
    <col min="1801" max="2048" width="9" style="255"/>
    <col min="2049" max="2049" width="6" style="255" customWidth="1"/>
    <col min="2050" max="2050" width="22.6328125" style="255" customWidth="1"/>
    <col min="2051" max="2051" width="13.26953125" style="255" customWidth="1"/>
    <col min="2052" max="2052" width="14.36328125" style="255" customWidth="1"/>
    <col min="2053" max="2053" width="14.90625" style="255" customWidth="1"/>
    <col min="2054" max="2054" width="9" style="255"/>
    <col min="2055" max="2056" width="9.6328125" style="255" bestFit="1" customWidth="1"/>
    <col min="2057" max="2304" width="9" style="255"/>
    <col min="2305" max="2305" width="6" style="255" customWidth="1"/>
    <col min="2306" max="2306" width="22.6328125" style="255" customWidth="1"/>
    <col min="2307" max="2307" width="13.26953125" style="255" customWidth="1"/>
    <col min="2308" max="2308" width="14.36328125" style="255" customWidth="1"/>
    <col min="2309" max="2309" width="14.90625" style="255" customWidth="1"/>
    <col min="2310" max="2310" width="9" style="255"/>
    <col min="2311" max="2312" width="9.6328125" style="255" bestFit="1" customWidth="1"/>
    <col min="2313" max="2560" width="9" style="255"/>
    <col min="2561" max="2561" width="6" style="255" customWidth="1"/>
    <col min="2562" max="2562" width="22.6328125" style="255" customWidth="1"/>
    <col min="2563" max="2563" width="13.26953125" style="255" customWidth="1"/>
    <col min="2564" max="2564" width="14.36328125" style="255" customWidth="1"/>
    <col min="2565" max="2565" width="14.90625" style="255" customWidth="1"/>
    <col min="2566" max="2566" width="9" style="255"/>
    <col min="2567" max="2568" width="9.6328125" style="255" bestFit="1" customWidth="1"/>
    <col min="2569" max="2816" width="9" style="255"/>
    <col min="2817" max="2817" width="6" style="255" customWidth="1"/>
    <col min="2818" max="2818" width="22.6328125" style="255" customWidth="1"/>
    <col min="2819" max="2819" width="13.26953125" style="255" customWidth="1"/>
    <col min="2820" max="2820" width="14.36328125" style="255" customWidth="1"/>
    <col min="2821" max="2821" width="14.90625" style="255" customWidth="1"/>
    <col min="2822" max="2822" width="9" style="255"/>
    <col min="2823" max="2824" width="9.6328125" style="255" bestFit="1" customWidth="1"/>
    <col min="2825" max="3072" width="9" style="255"/>
    <col min="3073" max="3073" width="6" style="255" customWidth="1"/>
    <col min="3074" max="3074" width="22.6328125" style="255" customWidth="1"/>
    <col min="3075" max="3075" width="13.26953125" style="255" customWidth="1"/>
    <col min="3076" max="3076" width="14.36328125" style="255" customWidth="1"/>
    <col min="3077" max="3077" width="14.90625" style="255" customWidth="1"/>
    <col min="3078" max="3078" width="9" style="255"/>
    <col min="3079" max="3080" width="9.6328125" style="255" bestFit="1" customWidth="1"/>
    <col min="3081" max="3328" width="9" style="255"/>
    <col min="3329" max="3329" width="6" style="255" customWidth="1"/>
    <col min="3330" max="3330" width="22.6328125" style="255" customWidth="1"/>
    <col min="3331" max="3331" width="13.26953125" style="255" customWidth="1"/>
    <col min="3332" max="3332" width="14.36328125" style="255" customWidth="1"/>
    <col min="3333" max="3333" width="14.90625" style="255" customWidth="1"/>
    <col min="3334" max="3334" width="9" style="255"/>
    <col min="3335" max="3336" width="9.6328125" style="255" bestFit="1" customWidth="1"/>
    <col min="3337" max="3584" width="9" style="255"/>
    <col min="3585" max="3585" width="6" style="255" customWidth="1"/>
    <col min="3586" max="3586" width="22.6328125" style="255" customWidth="1"/>
    <col min="3587" max="3587" width="13.26953125" style="255" customWidth="1"/>
    <col min="3588" max="3588" width="14.36328125" style="255" customWidth="1"/>
    <col min="3589" max="3589" width="14.90625" style="255" customWidth="1"/>
    <col min="3590" max="3590" width="9" style="255"/>
    <col min="3591" max="3592" width="9.6328125" style="255" bestFit="1" customWidth="1"/>
    <col min="3593" max="3840" width="9" style="255"/>
    <col min="3841" max="3841" width="6" style="255" customWidth="1"/>
    <col min="3842" max="3842" width="22.6328125" style="255" customWidth="1"/>
    <col min="3843" max="3843" width="13.26953125" style="255" customWidth="1"/>
    <col min="3844" max="3844" width="14.36328125" style="255" customWidth="1"/>
    <col min="3845" max="3845" width="14.90625" style="255" customWidth="1"/>
    <col min="3846" max="3846" width="9" style="255"/>
    <col min="3847" max="3848" width="9.6328125" style="255" bestFit="1" customWidth="1"/>
    <col min="3849" max="4096" width="9" style="255"/>
    <col min="4097" max="4097" width="6" style="255" customWidth="1"/>
    <col min="4098" max="4098" width="22.6328125" style="255" customWidth="1"/>
    <col min="4099" max="4099" width="13.26953125" style="255" customWidth="1"/>
    <col min="4100" max="4100" width="14.36328125" style="255" customWidth="1"/>
    <col min="4101" max="4101" width="14.90625" style="255" customWidth="1"/>
    <col min="4102" max="4102" width="9" style="255"/>
    <col min="4103" max="4104" width="9.6328125" style="255" bestFit="1" customWidth="1"/>
    <col min="4105" max="4352" width="9" style="255"/>
    <col min="4353" max="4353" width="6" style="255" customWidth="1"/>
    <col min="4354" max="4354" width="22.6328125" style="255" customWidth="1"/>
    <col min="4355" max="4355" width="13.26953125" style="255" customWidth="1"/>
    <col min="4356" max="4356" width="14.36328125" style="255" customWidth="1"/>
    <col min="4357" max="4357" width="14.90625" style="255" customWidth="1"/>
    <col min="4358" max="4358" width="9" style="255"/>
    <col min="4359" max="4360" width="9.6328125" style="255" bestFit="1" customWidth="1"/>
    <col min="4361" max="4608" width="9" style="255"/>
    <col min="4609" max="4609" width="6" style="255" customWidth="1"/>
    <col min="4610" max="4610" width="22.6328125" style="255" customWidth="1"/>
    <col min="4611" max="4611" width="13.26953125" style="255" customWidth="1"/>
    <col min="4612" max="4612" width="14.36328125" style="255" customWidth="1"/>
    <col min="4613" max="4613" width="14.90625" style="255" customWidth="1"/>
    <col min="4614" max="4614" width="9" style="255"/>
    <col min="4615" max="4616" width="9.6328125" style="255" bestFit="1" customWidth="1"/>
    <col min="4617" max="4864" width="9" style="255"/>
    <col min="4865" max="4865" width="6" style="255" customWidth="1"/>
    <col min="4866" max="4866" width="22.6328125" style="255" customWidth="1"/>
    <col min="4867" max="4867" width="13.26953125" style="255" customWidth="1"/>
    <col min="4868" max="4868" width="14.36328125" style="255" customWidth="1"/>
    <col min="4869" max="4869" width="14.90625" style="255" customWidth="1"/>
    <col min="4870" max="4870" width="9" style="255"/>
    <col min="4871" max="4872" width="9.6328125" style="255" bestFit="1" customWidth="1"/>
    <col min="4873" max="5120" width="9" style="255"/>
    <col min="5121" max="5121" width="6" style="255" customWidth="1"/>
    <col min="5122" max="5122" width="22.6328125" style="255" customWidth="1"/>
    <col min="5123" max="5123" width="13.26953125" style="255" customWidth="1"/>
    <col min="5124" max="5124" width="14.36328125" style="255" customWidth="1"/>
    <col min="5125" max="5125" width="14.90625" style="255" customWidth="1"/>
    <col min="5126" max="5126" width="9" style="255"/>
    <col min="5127" max="5128" width="9.6328125" style="255" bestFit="1" customWidth="1"/>
    <col min="5129" max="5376" width="9" style="255"/>
    <col min="5377" max="5377" width="6" style="255" customWidth="1"/>
    <col min="5378" max="5378" width="22.6328125" style="255" customWidth="1"/>
    <col min="5379" max="5379" width="13.26953125" style="255" customWidth="1"/>
    <col min="5380" max="5380" width="14.36328125" style="255" customWidth="1"/>
    <col min="5381" max="5381" width="14.90625" style="255" customWidth="1"/>
    <col min="5382" max="5382" width="9" style="255"/>
    <col min="5383" max="5384" width="9.6328125" style="255" bestFit="1" customWidth="1"/>
    <col min="5385" max="5632" width="9" style="255"/>
    <col min="5633" max="5633" width="6" style="255" customWidth="1"/>
    <col min="5634" max="5634" width="22.6328125" style="255" customWidth="1"/>
    <col min="5635" max="5635" width="13.26953125" style="255" customWidth="1"/>
    <col min="5636" max="5636" width="14.36328125" style="255" customWidth="1"/>
    <col min="5637" max="5637" width="14.90625" style="255" customWidth="1"/>
    <col min="5638" max="5638" width="9" style="255"/>
    <col min="5639" max="5640" width="9.6328125" style="255" bestFit="1" customWidth="1"/>
    <col min="5641" max="5888" width="9" style="255"/>
    <col min="5889" max="5889" width="6" style="255" customWidth="1"/>
    <col min="5890" max="5890" width="22.6328125" style="255" customWidth="1"/>
    <col min="5891" max="5891" width="13.26953125" style="255" customWidth="1"/>
    <col min="5892" max="5892" width="14.36328125" style="255" customWidth="1"/>
    <col min="5893" max="5893" width="14.90625" style="255" customWidth="1"/>
    <col min="5894" max="5894" width="9" style="255"/>
    <col min="5895" max="5896" width="9.6328125" style="255" bestFit="1" customWidth="1"/>
    <col min="5897" max="6144" width="9" style="255"/>
    <col min="6145" max="6145" width="6" style="255" customWidth="1"/>
    <col min="6146" max="6146" width="22.6328125" style="255" customWidth="1"/>
    <col min="6147" max="6147" width="13.26953125" style="255" customWidth="1"/>
    <col min="6148" max="6148" width="14.36328125" style="255" customWidth="1"/>
    <col min="6149" max="6149" width="14.90625" style="255" customWidth="1"/>
    <col min="6150" max="6150" width="9" style="255"/>
    <col min="6151" max="6152" width="9.6328125" style="255" bestFit="1" customWidth="1"/>
    <col min="6153" max="6400" width="9" style="255"/>
    <col min="6401" max="6401" width="6" style="255" customWidth="1"/>
    <col min="6402" max="6402" width="22.6328125" style="255" customWidth="1"/>
    <col min="6403" max="6403" width="13.26953125" style="255" customWidth="1"/>
    <col min="6404" max="6404" width="14.36328125" style="255" customWidth="1"/>
    <col min="6405" max="6405" width="14.90625" style="255" customWidth="1"/>
    <col min="6406" max="6406" width="9" style="255"/>
    <col min="6407" max="6408" width="9.6328125" style="255" bestFit="1" customWidth="1"/>
    <col min="6409" max="6656" width="9" style="255"/>
    <col min="6657" max="6657" width="6" style="255" customWidth="1"/>
    <col min="6658" max="6658" width="22.6328125" style="255" customWidth="1"/>
    <col min="6659" max="6659" width="13.26953125" style="255" customWidth="1"/>
    <col min="6660" max="6660" width="14.36328125" style="255" customWidth="1"/>
    <col min="6661" max="6661" width="14.90625" style="255" customWidth="1"/>
    <col min="6662" max="6662" width="9" style="255"/>
    <col min="6663" max="6664" width="9.6328125" style="255" bestFit="1" customWidth="1"/>
    <col min="6665" max="6912" width="9" style="255"/>
    <col min="6913" max="6913" width="6" style="255" customWidth="1"/>
    <col min="6914" max="6914" width="22.6328125" style="255" customWidth="1"/>
    <col min="6915" max="6915" width="13.26953125" style="255" customWidth="1"/>
    <col min="6916" max="6916" width="14.36328125" style="255" customWidth="1"/>
    <col min="6917" max="6917" width="14.90625" style="255" customWidth="1"/>
    <col min="6918" max="6918" width="9" style="255"/>
    <col min="6919" max="6920" width="9.6328125" style="255" bestFit="1" customWidth="1"/>
    <col min="6921" max="7168" width="9" style="255"/>
    <col min="7169" max="7169" width="6" style="255" customWidth="1"/>
    <col min="7170" max="7170" width="22.6328125" style="255" customWidth="1"/>
    <col min="7171" max="7171" width="13.26953125" style="255" customWidth="1"/>
    <col min="7172" max="7172" width="14.36328125" style="255" customWidth="1"/>
    <col min="7173" max="7173" width="14.90625" style="255" customWidth="1"/>
    <col min="7174" max="7174" width="9" style="255"/>
    <col min="7175" max="7176" width="9.6328125" style="255" bestFit="1" customWidth="1"/>
    <col min="7177" max="7424" width="9" style="255"/>
    <col min="7425" max="7425" width="6" style="255" customWidth="1"/>
    <col min="7426" max="7426" width="22.6328125" style="255" customWidth="1"/>
    <col min="7427" max="7427" width="13.26953125" style="255" customWidth="1"/>
    <col min="7428" max="7428" width="14.36328125" style="255" customWidth="1"/>
    <col min="7429" max="7429" width="14.90625" style="255" customWidth="1"/>
    <col min="7430" max="7430" width="9" style="255"/>
    <col min="7431" max="7432" width="9.6328125" style="255" bestFit="1" customWidth="1"/>
    <col min="7433" max="7680" width="9" style="255"/>
    <col min="7681" max="7681" width="6" style="255" customWidth="1"/>
    <col min="7682" max="7682" width="22.6328125" style="255" customWidth="1"/>
    <col min="7683" max="7683" width="13.26953125" style="255" customWidth="1"/>
    <col min="7684" max="7684" width="14.36328125" style="255" customWidth="1"/>
    <col min="7685" max="7685" width="14.90625" style="255" customWidth="1"/>
    <col min="7686" max="7686" width="9" style="255"/>
    <col min="7687" max="7688" width="9.6328125" style="255" bestFit="1" customWidth="1"/>
    <col min="7689" max="7936" width="9" style="255"/>
    <col min="7937" max="7937" width="6" style="255" customWidth="1"/>
    <col min="7938" max="7938" width="22.6328125" style="255" customWidth="1"/>
    <col min="7939" max="7939" width="13.26953125" style="255" customWidth="1"/>
    <col min="7940" max="7940" width="14.36328125" style="255" customWidth="1"/>
    <col min="7941" max="7941" width="14.90625" style="255" customWidth="1"/>
    <col min="7942" max="7942" width="9" style="255"/>
    <col min="7943" max="7944" width="9.6328125" style="255" bestFit="1" customWidth="1"/>
    <col min="7945" max="8192" width="9" style="255"/>
    <col min="8193" max="8193" width="6" style="255" customWidth="1"/>
    <col min="8194" max="8194" width="22.6328125" style="255" customWidth="1"/>
    <col min="8195" max="8195" width="13.26953125" style="255" customWidth="1"/>
    <col min="8196" max="8196" width="14.36328125" style="255" customWidth="1"/>
    <col min="8197" max="8197" width="14.90625" style="255" customWidth="1"/>
    <col min="8198" max="8198" width="9" style="255"/>
    <col min="8199" max="8200" width="9.6328125" style="255" bestFit="1" customWidth="1"/>
    <col min="8201" max="8448" width="9" style="255"/>
    <col min="8449" max="8449" width="6" style="255" customWidth="1"/>
    <col min="8450" max="8450" width="22.6328125" style="255" customWidth="1"/>
    <col min="8451" max="8451" width="13.26953125" style="255" customWidth="1"/>
    <col min="8452" max="8452" width="14.36328125" style="255" customWidth="1"/>
    <col min="8453" max="8453" width="14.90625" style="255" customWidth="1"/>
    <col min="8454" max="8454" width="9" style="255"/>
    <col min="8455" max="8456" width="9.6328125" style="255" bestFit="1" customWidth="1"/>
    <col min="8457" max="8704" width="9" style="255"/>
    <col min="8705" max="8705" width="6" style="255" customWidth="1"/>
    <col min="8706" max="8706" width="22.6328125" style="255" customWidth="1"/>
    <col min="8707" max="8707" width="13.26953125" style="255" customWidth="1"/>
    <col min="8708" max="8708" width="14.36328125" style="255" customWidth="1"/>
    <col min="8709" max="8709" width="14.90625" style="255" customWidth="1"/>
    <col min="8710" max="8710" width="9" style="255"/>
    <col min="8711" max="8712" width="9.6328125" style="255" bestFit="1" customWidth="1"/>
    <col min="8713" max="8960" width="9" style="255"/>
    <col min="8961" max="8961" width="6" style="255" customWidth="1"/>
    <col min="8962" max="8962" width="22.6328125" style="255" customWidth="1"/>
    <col min="8963" max="8963" width="13.26953125" style="255" customWidth="1"/>
    <col min="8964" max="8964" width="14.36328125" style="255" customWidth="1"/>
    <col min="8965" max="8965" width="14.90625" style="255" customWidth="1"/>
    <col min="8966" max="8966" width="9" style="255"/>
    <col min="8967" max="8968" width="9.6328125" style="255" bestFit="1" customWidth="1"/>
    <col min="8969" max="9216" width="9" style="255"/>
    <col min="9217" max="9217" width="6" style="255" customWidth="1"/>
    <col min="9218" max="9218" width="22.6328125" style="255" customWidth="1"/>
    <col min="9219" max="9219" width="13.26953125" style="255" customWidth="1"/>
    <col min="9220" max="9220" width="14.36328125" style="255" customWidth="1"/>
    <col min="9221" max="9221" width="14.90625" style="255" customWidth="1"/>
    <col min="9222" max="9222" width="9" style="255"/>
    <col min="9223" max="9224" width="9.6328125" style="255" bestFit="1" customWidth="1"/>
    <col min="9225" max="9472" width="9" style="255"/>
    <col min="9473" max="9473" width="6" style="255" customWidth="1"/>
    <col min="9474" max="9474" width="22.6328125" style="255" customWidth="1"/>
    <col min="9475" max="9475" width="13.26953125" style="255" customWidth="1"/>
    <col min="9476" max="9476" width="14.36328125" style="255" customWidth="1"/>
    <col min="9477" max="9477" width="14.90625" style="255" customWidth="1"/>
    <col min="9478" max="9478" width="9" style="255"/>
    <col min="9479" max="9480" width="9.6328125" style="255" bestFit="1" customWidth="1"/>
    <col min="9481" max="9728" width="9" style="255"/>
    <col min="9729" max="9729" width="6" style="255" customWidth="1"/>
    <col min="9730" max="9730" width="22.6328125" style="255" customWidth="1"/>
    <col min="9731" max="9731" width="13.26953125" style="255" customWidth="1"/>
    <col min="9732" max="9732" width="14.36328125" style="255" customWidth="1"/>
    <col min="9733" max="9733" width="14.90625" style="255" customWidth="1"/>
    <col min="9734" max="9734" width="9" style="255"/>
    <col min="9735" max="9736" width="9.6328125" style="255" bestFit="1" customWidth="1"/>
    <col min="9737" max="9984" width="9" style="255"/>
    <col min="9985" max="9985" width="6" style="255" customWidth="1"/>
    <col min="9986" max="9986" width="22.6328125" style="255" customWidth="1"/>
    <col min="9987" max="9987" width="13.26953125" style="255" customWidth="1"/>
    <col min="9988" max="9988" width="14.36328125" style="255" customWidth="1"/>
    <col min="9989" max="9989" width="14.90625" style="255" customWidth="1"/>
    <col min="9990" max="9990" width="9" style="255"/>
    <col min="9991" max="9992" width="9.6328125" style="255" bestFit="1" customWidth="1"/>
    <col min="9993" max="10240" width="9" style="255"/>
    <col min="10241" max="10241" width="6" style="255" customWidth="1"/>
    <col min="10242" max="10242" width="22.6328125" style="255" customWidth="1"/>
    <col min="10243" max="10243" width="13.26953125" style="255" customWidth="1"/>
    <col min="10244" max="10244" width="14.36328125" style="255" customWidth="1"/>
    <col min="10245" max="10245" width="14.90625" style="255" customWidth="1"/>
    <col min="10246" max="10246" width="9" style="255"/>
    <col min="10247" max="10248" width="9.6328125" style="255" bestFit="1" customWidth="1"/>
    <col min="10249" max="10496" width="9" style="255"/>
    <col min="10497" max="10497" width="6" style="255" customWidth="1"/>
    <col min="10498" max="10498" width="22.6328125" style="255" customWidth="1"/>
    <col min="10499" max="10499" width="13.26953125" style="255" customWidth="1"/>
    <col min="10500" max="10500" width="14.36328125" style="255" customWidth="1"/>
    <col min="10501" max="10501" width="14.90625" style="255" customWidth="1"/>
    <col min="10502" max="10502" width="9" style="255"/>
    <col min="10503" max="10504" width="9.6328125" style="255" bestFit="1" customWidth="1"/>
    <col min="10505" max="10752" width="9" style="255"/>
    <col min="10753" max="10753" width="6" style="255" customWidth="1"/>
    <col min="10754" max="10754" width="22.6328125" style="255" customWidth="1"/>
    <col min="10755" max="10755" width="13.26953125" style="255" customWidth="1"/>
    <col min="10756" max="10756" width="14.36328125" style="255" customWidth="1"/>
    <col min="10757" max="10757" width="14.90625" style="255" customWidth="1"/>
    <col min="10758" max="10758" width="9" style="255"/>
    <col min="10759" max="10760" width="9.6328125" style="255" bestFit="1" customWidth="1"/>
    <col min="10761" max="11008" width="9" style="255"/>
    <col min="11009" max="11009" width="6" style="255" customWidth="1"/>
    <col min="11010" max="11010" width="22.6328125" style="255" customWidth="1"/>
    <col min="11011" max="11011" width="13.26953125" style="255" customWidth="1"/>
    <col min="11012" max="11012" width="14.36328125" style="255" customWidth="1"/>
    <col min="11013" max="11013" width="14.90625" style="255" customWidth="1"/>
    <col min="11014" max="11014" width="9" style="255"/>
    <col min="11015" max="11016" width="9.6328125" style="255" bestFit="1" customWidth="1"/>
    <col min="11017" max="11264" width="9" style="255"/>
    <col min="11265" max="11265" width="6" style="255" customWidth="1"/>
    <col min="11266" max="11266" width="22.6328125" style="255" customWidth="1"/>
    <col min="11267" max="11267" width="13.26953125" style="255" customWidth="1"/>
    <col min="11268" max="11268" width="14.36328125" style="255" customWidth="1"/>
    <col min="11269" max="11269" width="14.90625" style="255" customWidth="1"/>
    <col min="11270" max="11270" width="9" style="255"/>
    <col min="11271" max="11272" width="9.6328125" style="255" bestFit="1" customWidth="1"/>
    <col min="11273" max="11520" width="9" style="255"/>
    <col min="11521" max="11521" width="6" style="255" customWidth="1"/>
    <col min="11522" max="11522" width="22.6328125" style="255" customWidth="1"/>
    <col min="11523" max="11523" width="13.26953125" style="255" customWidth="1"/>
    <col min="11524" max="11524" width="14.36328125" style="255" customWidth="1"/>
    <col min="11525" max="11525" width="14.90625" style="255" customWidth="1"/>
    <col min="11526" max="11526" width="9" style="255"/>
    <col min="11527" max="11528" width="9.6328125" style="255" bestFit="1" customWidth="1"/>
    <col min="11529" max="11776" width="9" style="255"/>
    <col min="11777" max="11777" width="6" style="255" customWidth="1"/>
    <col min="11778" max="11778" width="22.6328125" style="255" customWidth="1"/>
    <col min="11779" max="11779" width="13.26953125" style="255" customWidth="1"/>
    <col min="11780" max="11780" width="14.36328125" style="255" customWidth="1"/>
    <col min="11781" max="11781" width="14.90625" style="255" customWidth="1"/>
    <col min="11782" max="11782" width="9" style="255"/>
    <col min="11783" max="11784" width="9.6328125" style="255" bestFit="1" customWidth="1"/>
    <col min="11785" max="12032" width="9" style="255"/>
    <col min="12033" max="12033" width="6" style="255" customWidth="1"/>
    <col min="12034" max="12034" width="22.6328125" style="255" customWidth="1"/>
    <col min="12035" max="12035" width="13.26953125" style="255" customWidth="1"/>
    <col min="12036" max="12036" width="14.36328125" style="255" customWidth="1"/>
    <col min="12037" max="12037" width="14.90625" style="255" customWidth="1"/>
    <col min="12038" max="12038" width="9" style="255"/>
    <col min="12039" max="12040" width="9.6328125" style="255" bestFit="1" customWidth="1"/>
    <col min="12041" max="12288" width="9" style="255"/>
    <col min="12289" max="12289" width="6" style="255" customWidth="1"/>
    <col min="12290" max="12290" width="22.6328125" style="255" customWidth="1"/>
    <col min="12291" max="12291" width="13.26953125" style="255" customWidth="1"/>
    <col min="12292" max="12292" width="14.36328125" style="255" customWidth="1"/>
    <col min="12293" max="12293" width="14.90625" style="255" customWidth="1"/>
    <col min="12294" max="12294" width="9" style="255"/>
    <col min="12295" max="12296" width="9.6328125" style="255" bestFit="1" customWidth="1"/>
    <col min="12297" max="12544" width="9" style="255"/>
    <col min="12545" max="12545" width="6" style="255" customWidth="1"/>
    <col min="12546" max="12546" width="22.6328125" style="255" customWidth="1"/>
    <col min="12547" max="12547" width="13.26953125" style="255" customWidth="1"/>
    <col min="12548" max="12548" width="14.36328125" style="255" customWidth="1"/>
    <col min="12549" max="12549" width="14.90625" style="255" customWidth="1"/>
    <col min="12550" max="12550" width="9" style="255"/>
    <col min="12551" max="12552" width="9.6328125" style="255" bestFit="1" customWidth="1"/>
    <col min="12553" max="12800" width="9" style="255"/>
    <col min="12801" max="12801" width="6" style="255" customWidth="1"/>
    <col min="12802" max="12802" width="22.6328125" style="255" customWidth="1"/>
    <col min="12803" max="12803" width="13.26953125" style="255" customWidth="1"/>
    <col min="12804" max="12804" width="14.36328125" style="255" customWidth="1"/>
    <col min="12805" max="12805" width="14.90625" style="255" customWidth="1"/>
    <col min="12806" max="12806" width="9" style="255"/>
    <col min="12807" max="12808" width="9.6328125" style="255" bestFit="1" customWidth="1"/>
    <col min="12809" max="13056" width="9" style="255"/>
    <col min="13057" max="13057" width="6" style="255" customWidth="1"/>
    <col min="13058" max="13058" width="22.6328125" style="255" customWidth="1"/>
    <col min="13059" max="13059" width="13.26953125" style="255" customWidth="1"/>
    <col min="13060" max="13060" width="14.36328125" style="255" customWidth="1"/>
    <col min="13061" max="13061" width="14.90625" style="255" customWidth="1"/>
    <col min="13062" max="13062" width="9" style="255"/>
    <col min="13063" max="13064" width="9.6328125" style="255" bestFit="1" customWidth="1"/>
    <col min="13065" max="13312" width="9" style="255"/>
    <col min="13313" max="13313" width="6" style="255" customWidth="1"/>
    <col min="13314" max="13314" width="22.6328125" style="255" customWidth="1"/>
    <col min="13315" max="13315" width="13.26953125" style="255" customWidth="1"/>
    <col min="13316" max="13316" width="14.36328125" style="255" customWidth="1"/>
    <col min="13317" max="13317" width="14.90625" style="255" customWidth="1"/>
    <col min="13318" max="13318" width="9" style="255"/>
    <col min="13319" max="13320" width="9.6328125" style="255" bestFit="1" customWidth="1"/>
    <col min="13321" max="13568" width="9" style="255"/>
    <col min="13569" max="13569" width="6" style="255" customWidth="1"/>
    <col min="13570" max="13570" width="22.6328125" style="255" customWidth="1"/>
    <col min="13571" max="13571" width="13.26953125" style="255" customWidth="1"/>
    <col min="13572" max="13572" width="14.36328125" style="255" customWidth="1"/>
    <col min="13573" max="13573" width="14.90625" style="255" customWidth="1"/>
    <col min="13574" max="13574" width="9" style="255"/>
    <col min="13575" max="13576" width="9.6328125" style="255" bestFit="1" customWidth="1"/>
    <col min="13577" max="13824" width="9" style="255"/>
    <col min="13825" max="13825" width="6" style="255" customWidth="1"/>
    <col min="13826" max="13826" width="22.6328125" style="255" customWidth="1"/>
    <col min="13827" max="13827" width="13.26953125" style="255" customWidth="1"/>
    <col min="13828" max="13828" width="14.36328125" style="255" customWidth="1"/>
    <col min="13829" max="13829" width="14.90625" style="255" customWidth="1"/>
    <col min="13830" max="13830" width="9" style="255"/>
    <col min="13831" max="13832" width="9.6328125" style="255" bestFit="1" customWidth="1"/>
    <col min="13833" max="14080" width="9" style="255"/>
    <col min="14081" max="14081" width="6" style="255" customWidth="1"/>
    <col min="14082" max="14082" width="22.6328125" style="255" customWidth="1"/>
    <col min="14083" max="14083" width="13.26953125" style="255" customWidth="1"/>
    <col min="14084" max="14084" width="14.36328125" style="255" customWidth="1"/>
    <col min="14085" max="14085" width="14.90625" style="255" customWidth="1"/>
    <col min="14086" max="14086" width="9" style="255"/>
    <col min="14087" max="14088" width="9.6328125" style="255" bestFit="1" customWidth="1"/>
    <col min="14089" max="14336" width="9" style="255"/>
    <col min="14337" max="14337" width="6" style="255" customWidth="1"/>
    <col min="14338" max="14338" width="22.6328125" style="255" customWidth="1"/>
    <col min="14339" max="14339" width="13.26953125" style="255" customWidth="1"/>
    <col min="14340" max="14340" width="14.36328125" style="255" customWidth="1"/>
    <col min="14341" max="14341" width="14.90625" style="255" customWidth="1"/>
    <col min="14342" max="14342" width="9" style="255"/>
    <col min="14343" max="14344" width="9.6328125" style="255" bestFit="1" customWidth="1"/>
    <col min="14345" max="14592" width="9" style="255"/>
    <col min="14593" max="14593" width="6" style="255" customWidth="1"/>
    <col min="14594" max="14594" width="22.6328125" style="255" customWidth="1"/>
    <col min="14595" max="14595" width="13.26953125" style="255" customWidth="1"/>
    <col min="14596" max="14596" width="14.36328125" style="255" customWidth="1"/>
    <col min="14597" max="14597" width="14.90625" style="255" customWidth="1"/>
    <col min="14598" max="14598" width="9" style="255"/>
    <col min="14599" max="14600" width="9.6328125" style="255" bestFit="1" customWidth="1"/>
    <col min="14601" max="14848" width="9" style="255"/>
    <col min="14849" max="14849" width="6" style="255" customWidth="1"/>
    <col min="14850" max="14850" width="22.6328125" style="255" customWidth="1"/>
    <col min="14851" max="14851" width="13.26953125" style="255" customWidth="1"/>
    <col min="14852" max="14852" width="14.36328125" style="255" customWidth="1"/>
    <col min="14853" max="14853" width="14.90625" style="255" customWidth="1"/>
    <col min="14854" max="14854" width="9" style="255"/>
    <col min="14855" max="14856" width="9.6328125" style="255" bestFit="1" customWidth="1"/>
    <col min="14857" max="15104" width="9" style="255"/>
    <col min="15105" max="15105" width="6" style="255" customWidth="1"/>
    <col min="15106" max="15106" width="22.6328125" style="255" customWidth="1"/>
    <col min="15107" max="15107" width="13.26953125" style="255" customWidth="1"/>
    <col min="15108" max="15108" width="14.36328125" style="255" customWidth="1"/>
    <col min="15109" max="15109" width="14.90625" style="255" customWidth="1"/>
    <col min="15110" max="15110" width="9" style="255"/>
    <col min="15111" max="15112" width="9.6328125" style="255" bestFit="1" customWidth="1"/>
    <col min="15113" max="15360" width="9" style="255"/>
    <col min="15361" max="15361" width="6" style="255" customWidth="1"/>
    <col min="15362" max="15362" width="22.6328125" style="255" customWidth="1"/>
    <col min="15363" max="15363" width="13.26953125" style="255" customWidth="1"/>
    <col min="15364" max="15364" width="14.36328125" style="255" customWidth="1"/>
    <col min="15365" max="15365" width="14.90625" style="255" customWidth="1"/>
    <col min="15366" max="15366" width="9" style="255"/>
    <col min="15367" max="15368" width="9.6328125" style="255" bestFit="1" customWidth="1"/>
    <col min="15369" max="15616" width="9" style="255"/>
    <col min="15617" max="15617" width="6" style="255" customWidth="1"/>
    <col min="15618" max="15618" width="22.6328125" style="255" customWidth="1"/>
    <col min="15619" max="15619" width="13.26953125" style="255" customWidth="1"/>
    <col min="15620" max="15620" width="14.36328125" style="255" customWidth="1"/>
    <col min="15621" max="15621" width="14.90625" style="255" customWidth="1"/>
    <col min="15622" max="15622" width="9" style="255"/>
    <col min="15623" max="15624" width="9.6328125" style="255" bestFit="1" customWidth="1"/>
    <col min="15625" max="15872" width="9" style="255"/>
    <col min="15873" max="15873" width="6" style="255" customWidth="1"/>
    <col min="15874" max="15874" width="22.6328125" style="255" customWidth="1"/>
    <col min="15875" max="15875" width="13.26953125" style="255" customWidth="1"/>
    <col min="15876" max="15876" width="14.36328125" style="255" customWidth="1"/>
    <col min="15877" max="15877" width="14.90625" style="255" customWidth="1"/>
    <col min="15878" max="15878" width="9" style="255"/>
    <col min="15879" max="15880" width="9.6328125" style="255" bestFit="1" customWidth="1"/>
    <col min="15881" max="16128" width="9" style="255"/>
    <col min="16129" max="16129" width="6" style="255" customWidth="1"/>
    <col min="16130" max="16130" width="22.6328125" style="255" customWidth="1"/>
    <col min="16131" max="16131" width="13.26953125" style="255" customWidth="1"/>
    <col min="16132" max="16132" width="14.36328125" style="255" customWidth="1"/>
    <col min="16133" max="16133" width="14.90625" style="255" customWidth="1"/>
    <col min="16134" max="16134" width="9" style="255"/>
    <col min="16135" max="16136" width="9.6328125" style="255" bestFit="1" customWidth="1"/>
    <col min="16137" max="16384" width="9" style="255"/>
  </cols>
  <sheetData>
    <row r="1" spans="1:8" ht="22.5">
      <c r="A1" s="485" t="s">
        <v>757</v>
      </c>
      <c r="B1" s="486"/>
      <c r="C1" s="486"/>
      <c r="D1" s="486"/>
      <c r="E1" s="486"/>
    </row>
    <row r="2" spans="1:8">
      <c r="A2" s="256" t="s">
        <v>796</v>
      </c>
      <c r="B2" s="257"/>
      <c r="C2" s="258">
        <v>44104</v>
      </c>
      <c r="D2" s="259" t="s">
        <v>758</v>
      </c>
      <c r="E2" s="260" t="s">
        <v>759</v>
      </c>
    </row>
    <row r="3" spans="1:8" s="263" customFormat="1">
      <c r="A3" s="487" t="s">
        <v>797</v>
      </c>
      <c r="B3" s="487"/>
      <c r="C3" s="487"/>
      <c r="D3" s="261"/>
      <c r="E3" s="262" t="s">
        <v>760</v>
      </c>
    </row>
    <row r="4" spans="1:8">
      <c r="A4" s="264" t="s">
        <v>56</v>
      </c>
      <c r="B4" s="264" t="s">
        <v>761</v>
      </c>
      <c r="C4" s="264" t="s">
        <v>762</v>
      </c>
      <c r="D4" s="265" t="s">
        <v>763</v>
      </c>
      <c r="E4" s="265" t="s">
        <v>764</v>
      </c>
    </row>
    <row r="5" spans="1:8">
      <c r="A5" s="264" t="s">
        <v>765</v>
      </c>
      <c r="B5" s="264" t="s">
        <v>766</v>
      </c>
      <c r="C5" s="264"/>
      <c r="D5" s="265"/>
      <c r="E5" s="265"/>
    </row>
    <row r="6" spans="1:8">
      <c r="A6" s="266">
        <v>1</v>
      </c>
      <c r="B6" s="267" t="s">
        <v>767</v>
      </c>
      <c r="C6" s="268">
        <v>0</v>
      </c>
      <c r="D6" s="268"/>
      <c r="E6" s="265"/>
    </row>
    <row r="7" spans="1:8">
      <c r="A7" s="266">
        <v>2</v>
      </c>
      <c r="B7" s="267" t="s">
        <v>768</v>
      </c>
      <c r="C7" s="268"/>
      <c r="D7" s="268"/>
      <c r="E7" s="269"/>
    </row>
    <row r="8" spans="1:8">
      <c r="A8" s="270">
        <v>3</v>
      </c>
      <c r="B8" s="271" t="s">
        <v>769</v>
      </c>
      <c r="C8" s="272"/>
      <c r="D8" s="272">
        <f>SUM(D6:D7)</f>
        <v>0</v>
      </c>
      <c r="E8" s="273"/>
    </row>
    <row r="9" spans="1:8">
      <c r="A9" s="274"/>
      <c r="B9" s="275"/>
      <c r="C9" s="276"/>
      <c r="D9" s="276"/>
      <c r="E9" s="277"/>
    </row>
    <row r="10" spans="1:8">
      <c r="A10" s="278" t="s">
        <v>770</v>
      </c>
      <c r="B10" s="279" t="s">
        <v>771</v>
      </c>
      <c r="C10" s="280"/>
      <c r="D10" s="281"/>
      <c r="E10" s="282"/>
    </row>
    <row r="11" spans="1:8">
      <c r="A11" s="283">
        <v>1</v>
      </c>
      <c r="B11" s="269" t="s">
        <v>772</v>
      </c>
      <c r="C11" s="268">
        <v>0</v>
      </c>
      <c r="D11" s="284"/>
      <c r="E11" s="282"/>
    </row>
    <row r="12" spans="1:8">
      <c r="A12" s="283">
        <v>2</v>
      </c>
      <c r="B12" s="269" t="s">
        <v>773</v>
      </c>
      <c r="C12" s="268">
        <v>0</v>
      </c>
      <c r="D12" s="285"/>
      <c r="E12" s="282"/>
    </row>
    <row r="13" spans="1:8">
      <c r="A13" s="283">
        <v>3</v>
      </c>
      <c r="B13" s="286" t="s">
        <v>798</v>
      </c>
      <c r="C13" s="287"/>
      <c r="D13" s="284"/>
      <c r="E13" s="269"/>
    </row>
    <row r="14" spans="1:8">
      <c r="A14" s="283">
        <v>4</v>
      </c>
      <c r="B14" s="269"/>
      <c r="C14" s="268"/>
      <c r="D14" s="268"/>
      <c r="E14" s="288"/>
    </row>
    <row r="15" spans="1:8">
      <c r="A15" s="283">
        <v>5</v>
      </c>
      <c r="B15" s="269"/>
      <c r="C15" s="268"/>
      <c r="D15" s="268"/>
      <c r="E15" s="288"/>
    </row>
    <row r="16" spans="1:8">
      <c r="A16" s="289">
        <v>6</v>
      </c>
      <c r="B16" s="290" t="s">
        <v>774</v>
      </c>
      <c r="C16" s="272"/>
      <c r="D16" s="272">
        <f>SUM(D11:D15)</f>
        <v>0</v>
      </c>
      <c r="E16" s="291"/>
      <c r="H16" s="308">
        <f>D8+D16</f>
        <v>0</v>
      </c>
    </row>
    <row r="17" spans="1:8">
      <c r="A17" s="292" t="s">
        <v>775</v>
      </c>
      <c r="B17" s="293" t="s">
        <v>776</v>
      </c>
      <c r="C17" s="294"/>
      <c r="D17" s="268"/>
      <c r="E17" s="288"/>
    </row>
    <row r="18" spans="1:8">
      <c r="A18" s="283">
        <v>1</v>
      </c>
      <c r="B18" s="295"/>
      <c r="C18" s="268"/>
      <c r="D18" s="268"/>
      <c r="E18" s="296"/>
    </row>
    <row r="19" spans="1:8">
      <c r="A19" s="283">
        <v>2</v>
      </c>
      <c r="B19" s="295"/>
      <c r="C19" s="268"/>
      <c r="D19" s="268"/>
      <c r="E19" s="269"/>
    </row>
    <row r="20" spans="1:8">
      <c r="A20" s="283">
        <v>3</v>
      </c>
      <c r="B20" s="295"/>
      <c r="C20" s="268"/>
      <c r="D20" s="268"/>
      <c r="E20" s="297"/>
    </row>
    <row r="21" spans="1:8">
      <c r="A21" s="283">
        <v>4</v>
      </c>
      <c r="B21" s="295"/>
      <c r="C21" s="268"/>
      <c r="D21" s="268"/>
      <c r="E21" s="297"/>
    </row>
    <row r="22" spans="1:8">
      <c r="A22" s="283">
        <v>5</v>
      </c>
      <c r="B22" s="295"/>
      <c r="C22" s="268"/>
      <c r="D22" s="268"/>
      <c r="E22" s="297"/>
    </row>
    <row r="23" spans="1:8">
      <c r="A23" s="283">
        <v>6</v>
      </c>
      <c r="B23" s="295"/>
      <c r="C23" s="268"/>
      <c r="D23" s="268"/>
      <c r="E23" s="297"/>
    </row>
    <row r="24" spans="1:8">
      <c r="A24" s="283">
        <v>7</v>
      </c>
      <c r="B24" s="295"/>
      <c r="C24" s="268"/>
      <c r="D24" s="268"/>
      <c r="E24" s="297"/>
    </row>
    <row r="25" spans="1:8">
      <c r="A25" s="283">
        <v>8</v>
      </c>
      <c r="B25" s="295"/>
      <c r="C25" s="268"/>
      <c r="D25" s="268"/>
      <c r="E25" s="297"/>
    </row>
    <row r="26" spans="1:8" s="299" customFormat="1" ht="15">
      <c r="A26" s="289">
        <v>9</v>
      </c>
      <c r="B26" s="290" t="s">
        <v>777</v>
      </c>
      <c r="C26" s="272"/>
      <c r="D26" s="272">
        <f>SUM(D18:D25)</f>
        <v>0</v>
      </c>
      <c r="E26" s="298"/>
      <c r="G26" s="300"/>
      <c r="H26" s="300"/>
    </row>
    <row r="27" spans="1:8">
      <c r="A27" s="301" t="s">
        <v>778</v>
      </c>
      <c r="B27" s="302" t="s">
        <v>779</v>
      </c>
      <c r="C27" s="303"/>
      <c r="D27" s="303">
        <f>D8+D16-D26</f>
        <v>0</v>
      </c>
      <c r="E27" s="298"/>
    </row>
  </sheetData>
  <mergeCells count="2">
    <mergeCell ref="A1:E1"/>
    <mergeCell ref="A3:C3"/>
  </mergeCells>
  <phoneticPr fontId="2" type="noConversion"/>
  <hyperlinks>
    <hyperlink ref="D2" location="项目!V1" display="项目要素表" xr:uid="{C23A4C2D-E9F9-4E9F-857A-7FADABAE7C88}"/>
  </hyperlinks>
  <printOptions horizontalCentered="1"/>
  <pageMargins left="0.70866141732283472" right="0.70866141732283472" top="0.74803149606299213" bottom="0.74803149606299213" header="0.31496062992125984" footer="0.31496062992125984"/>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94E40-50DF-4EB1-924F-521730EE90A3}">
  <dimension ref="A1:F32"/>
  <sheetViews>
    <sheetView workbookViewId="0">
      <selection activeCell="G11" sqref="G11"/>
    </sheetView>
  </sheetViews>
  <sheetFormatPr defaultRowHeight="14"/>
  <cols>
    <col min="1" max="1" width="13.6328125" style="54" customWidth="1"/>
    <col min="2" max="2" width="13.26953125" style="54" customWidth="1"/>
    <col min="3" max="3" width="17.08984375" style="54" bestFit="1" customWidth="1"/>
    <col min="4" max="4" width="8.08984375" style="54" bestFit="1" customWidth="1"/>
    <col min="5" max="5" width="10.6328125" style="54" customWidth="1"/>
    <col min="6" max="6" width="64.453125" style="54" bestFit="1" customWidth="1"/>
    <col min="7" max="256" width="8.7265625" style="54"/>
    <col min="257" max="257" width="13.6328125" style="54" customWidth="1"/>
    <col min="258" max="258" width="13.26953125" style="54" customWidth="1"/>
    <col min="259" max="259" width="17.08984375" style="54" bestFit="1" customWidth="1"/>
    <col min="260" max="260" width="8.08984375" style="54" bestFit="1" customWidth="1"/>
    <col min="261" max="261" width="10.6328125" style="54" customWidth="1"/>
    <col min="262" max="262" width="64.453125" style="54" bestFit="1" customWidth="1"/>
    <col min="263" max="512" width="8.7265625" style="54"/>
    <col min="513" max="513" width="13.6328125" style="54" customWidth="1"/>
    <col min="514" max="514" width="13.26953125" style="54" customWidth="1"/>
    <col min="515" max="515" width="17.08984375" style="54" bestFit="1" customWidth="1"/>
    <col min="516" max="516" width="8.08984375" style="54" bestFit="1" customWidth="1"/>
    <col min="517" max="517" width="10.6328125" style="54" customWidth="1"/>
    <col min="518" max="518" width="64.453125" style="54" bestFit="1" customWidth="1"/>
    <col min="519" max="768" width="8.7265625" style="54"/>
    <col min="769" max="769" width="13.6328125" style="54" customWidth="1"/>
    <col min="770" max="770" width="13.26953125" style="54" customWidth="1"/>
    <col min="771" max="771" width="17.08984375" style="54" bestFit="1" customWidth="1"/>
    <col min="772" max="772" width="8.08984375" style="54" bestFit="1" customWidth="1"/>
    <col min="773" max="773" width="10.6328125" style="54" customWidth="1"/>
    <col min="774" max="774" width="64.453125" style="54" bestFit="1" customWidth="1"/>
    <col min="775" max="1024" width="8.7265625" style="54"/>
    <col min="1025" max="1025" width="13.6328125" style="54" customWidth="1"/>
    <col min="1026" max="1026" width="13.26953125" style="54" customWidth="1"/>
    <col min="1027" max="1027" width="17.08984375" style="54" bestFit="1" customWidth="1"/>
    <col min="1028" max="1028" width="8.08984375" style="54" bestFit="1" customWidth="1"/>
    <col min="1029" max="1029" width="10.6328125" style="54" customWidth="1"/>
    <col min="1030" max="1030" width="64.453125" style="54" bestFit="1" customWidth="1"/>
    <col min="1031" max="1280" width="8.7265625" style="54"/>
    <col min="1281" max="1281" width="13.6328125" style="54" customWidth="1"/>
    <col min="1282" max="1282" width="13.26953125" style="54" customWidth="1"/>
    <col min="1283" max="1283" width="17.08984375" style="54" bestFit="1" customWidth="1"/>
    <col min="1284" max="1284" width="8.08984375" style="54" bestFit="1" customWidth="1"/>
    <col min="1285" max="1285" width="10.6328125" style="54" customWidth="1"/>
    <col min="1286" max="1286" width="64.453125" style="54" bestFit="1" customWidth="1"/>
    <col min="1287" max="1536" width="8.7265625" style="54"/>
    <col min="1537" max="1537" width="13.6328125" style="54" customWidth="1"/>
    <col min="1538" max="1538" width="13.26953125" style="54" customWidth="1"/>
    <col min="1539" max="1539" width="17.08984375" style="54" bestFit="1" customWidth="1"/>
    <col min="1540" max="1540" width="8.08984375" style="54" bestFit="1" customWidth="1"/>
    <col min="1541" max="1541" width="10.6328125" style="54" customWidth="1"/>
    <col min="1542" max="1542" width="64.453125" style="54" bestFit="1" customWidth="1"/>
    <col min="1543" max="1792" width="8.7265625" style="54"/>
    <col min="1793" max="1793" width="13.6328125" style="54" customWidth="1"/>
    <col min="1794" max="1794" width="13.26953125" style="54" customWidth="1"/>
    <col min="1795" max="1795" width="17.08984375" style="54" bestFit="1" customWidth="1"/>
    <col min="1796" max="1796" width="8.08984375" style="54" bestFit="1" customWidth="1"/>
    <col min="1797" max="1797" width="10.6328125" style="54" customWidth="1"/>
    <col min="1798" max="1798" width="64.453125" style="54" bestFit="1" customWidth="1"/>
    <col min="1799" max="2048" width="8.7265625" style="54"/>
    <col min="2049" max="2049" width="13.6328125" style="54" customWidth="1"/>
    <col min="2050" max="2050" width="13.26953125" style="54" customWidth="1"/>
    <col min="2051" max="2051" width="17.08984375" style="54" bestFit="1" customWidth="1"/>
    <col min="2052" max="2052" width="8.08984375" style="54" bestFit="1" customWidth="1"/>
    <col min="2053" max="2053" width="10.6328125" style="54" customWidth="1"/>
    <col min="2054" max="2054" width="64.453125" style="54" bestFit="1" customWidth="1"/>
    <col min="2055" max="2304" width="8.7265625" style="54"/>
    <col min="2305" max="2305" width="13.6328125" style="54" customWidth="1"/>
    <col min="2306" max="2306" width="13.26953125" style="54" customWidth="1"/>
    <col min="2307" max="2307" width="17.08984375" style="54" bestFit="1" customWidth="1"/>
    <col min="2308" max="2308" width="8.08984375" style="54" bestFit="1" customWidth="1"/>
    <col min="2309" max="2309" width="10.6328125" style="54" customWidth="1"/>
    <col min="2310" max="2310" width="64.453125" style="54" bestFit="1" customWidth="1"/>
    <col min="2311" max="2560" width="8.7265625" style="54"/>
    <col min="2561" max="2561" width="13.6328125" style="54" customWidth="1"/>
    <col min="2562" max="2562" width="13.26953125" style="54" customWidth="1"/>
    <col min="2563" max="2563" width="17.08984375" style="54" bestFit="1" customWidth="1"/>
    <col min="2564" max="2564" width="8.08984375" style="54" bestFit="1" customWidth="1"/>
    <col min="2565" max="2565" width="10.6328125" style="54" customWidth="1"/>
    <col min="2566" max="2566" width="64.453125" style="54" bestFit="1" customWidth="1"/>
    <col min="2567" max="2816" width="8.7265625" style="54"/>
    <col min="2817" max="2817" width="13.6328125" style="54" customWidth="1"/>
    <col min="2818" max="2818" width="13.26953125" style="54" customWidth="1"/>
    <col min="2819" max="2819" width="17.08984375" style="54" bestFit="1" customWidth="1"/>
    <col min="2820" max="2820" width="8.08984375" style="54" bestFit="1" customWidth="1"/>
    <col min="2821" max="2821" width="10.6328125" style="54" customWidth="1"/>
    <col min="2822" max="2822" width="64.453125" style="54" bestFit="1" customWidth="1"/>
    <col min="2823" max="3072" width="8.7265625" style="54"/>
    <col min="3073" max="3073" width="13.6328125" style="54" customWidth="1"/>
    <col min="3074" max="3074" width="13.26953125" style="54" customWidth="1"/>
    <col min="3075" max="3075" width="17.08984375" style="54" bestFit="1" customWidth="1"/>
    <col min="3076" max="3076" width="8.08984375" style="54" bestFit="1" customWidth="1"/>
    <col min="3077" max="3077" width="10.6328125" style="54" customWidth="1"/>
    <col min="3078" max="3078" width="64.453125" style="54" bestFit="1" customWidth="1"/>
    <col min="3079" max="3328" width="8.7265625" style="54"/>
    <col min="3329" max="3329" width="13.6328125" style="54" customWidth="1"/>
    <col min="3330" max="3330" width="13.26953125" style="54" customWidth="1"/>
    <col min="3331" max="3331" width="17.08984375" style="54" bestFit="1" customWidth="1"/>
    <col min="3332" max="3332" width="8.08984375" style="54" bestFit="1" customWidth="1"/>
    <col min="3333" max="3333" width="10.6328125" style="54" customWidth="1"/>
    <col min="3334" max="3334" width="64.453125" style="54" bestFit="1" customWidth="1"/>
    <col min="3335" max="3584" width="8.7265625" style="54"/>
    <col min="3585" max="3585" width="13.6328125" style="54" customWidth="1"/>
    <col min="3586" max="3586" width="13.26953125" style="54" customWidth="1"/>
    <col min="3587" max="3587" width="17.08984375" style="54" bestFit="1" customWidth="1"/>
    <col min="3588" max="3588" width="8.08984375" style="54" bestFit="1" customWidth="1"/>
    <col min="3589" max="3589" width="10.6328125" style="54" customWidth="1"/>
    <col min="3590" max="3590" width="64.453125" style="54" bestFit="1" customWidth="1"/>
    <col min="3591" max="3840" width="8.7265625" style="54"/>
    <col min="3841" max="3841" width="13.6328125" style="54" customWidth="1"/>
    <col min="3842" max="3842" width="13.26953125" style="54" customWidth="1"/>
    <col min="3843" max="3843" width="17.08984375" style="54" bestFit="1" customWidth="1"/>
    <col min="3844" max="3844" width="8.08984375" style="54" bestFit="1" customWidth="1"/>
    <col min="3845" max="3845" width="10.6328125" style="54" customWidth="1"/>
    <col min="3846" max="3846" width="64.453125" style="54" bestFit="1" customWidth="1"/>
    <col min="3847" max="4096" width="8.7265625" style="54"/>
    <col min="4097" max="4097" width="13.6328125" style="54" customWidth="1"/>
    <col min="4098" max="4098" width="13.26953125" style="54" customWidth="1"/>
    <col min="4099" max="4099" width="17.08984375" style="54" bestFit="1" customWidth="1"/>
    <col min="4100" max="4100" width="8.08984375" style="54" bestFit="1" customWidth="1"/>
    <col min="4101" max="4101" width="10.6328125" style="54" customWidth="1"/>
    <col min="4102" max="4102" width="64.453125" style="54" bestFit="1" customWidth="1"/>
    <col min="4103" max="4352" width="8.7265625" style="54"/>
    <col min="4353" max="4353" width="13.6328125" style="54" customWidth="1"/>
    <col min="4354" max="4354" width="13.26953125" style="54" customWidth="1"/>
    <col min="4355" max="4355" width="17.08984375" style="54" bestFit="1" customWidth="1"/>
    <col min="4356" max="4356" width="8.08984375" style="54" bestFit="1" customWidth="1"/>
    <col min="4357" max="4357" width="10.6328125" style="54" customWidth="1"/>
    <col min="4358" max="4358" width="64.453125" style="54" bestFit="1" customWidth="1"/>
    <col min="4359" max="4608" width="8.7265625" style="54"/>
    <col min="4609" max="4609" width="13.6328125" style="54" customWidth="1"/>
    <col min="4610" max="4610" width="13.26953125" style="54" customWidth="1"/>
    <col min="4611" max="4611" width="17.08984375" style="54" bestFit="1" customWidth="1"/>
    <col min="4612" max="4612" width="8.08984375" style="54" bestFit="1" customWidth="1"/>
    <col min="4613" max="4613" width="10.6328125" style="54" customWidth="1"/>
    <col min="4614" max="4614" width="64.453125" style="54" bestFit="1" customWidth="1"/>
    <col min="4615" max="4864" width="8.7265625" style="54"/>
    <col min="4865" max="4865" width="13.6328125" style="54" customWidth="1"/>
    <col min="4866" max="4866" width="13.26953125" style="54" customWidth="1"/>
    <col min="4867" max="4867" width="17.08984375" style="54" bestFit="1" customWidth="1"/>
    <col min="4868" max="4868" width="8.08984375" style="54" bestFit="1" customWidth="1"/>
    <col min="4869" max="4869" width="10.6328125" style="54" customWidth="1"/>
    <col min="4870" max="4870" width="64.453125" style="54" bestFit="1" customWidth="1"/>
    <col min="4871" max="5120" width="8.7265625" style="54"/>
    <col min="5121" max="5121" width="13.6328125" style="54" customWidth="1"/>
    <col min="5122" max="5122" width="13.26953125" style="54" customWidth="1"/>
    <col min="5123" max="5123" width="17.08984375" style="54" bestFit="1" customWidth="1"/>
    <col min="5124" max="5124" width="8.08984375" style="54" bestFit="1" customWidth="1"/>
    <col min="5125" max="5125" width="10.6328125" style="54" customWidth="1"/>
    <col min="5126" max="5126" width="64.453125" style="54" bestFit="1" customWidth="1"/>
    <col min="5127" max="5376" width="8.7265625" style="54"/>
    <col min="5377" max="5377" width="13.6328125" style="54" customWidth="1"/>
    <col min="5378" max="5378" width="13.26953125" style="54" customWidth="1"/>
    <col min="5379" max="5379" width="17.08984375" style="54" bestFit="1" customWidth="1"/>
    <col min="5380" max="5380" width="8.08984375" style="54" bestFit="1" customWidth="1"/>
    <col min="5381" max="5381" width="10.6328125" style="54" customWidth="1"/>
    <col min="5382" max="5382" width="64.453125" style="54" bestFit="1" customWidth="1"/>
    <col min="5383" max="5632" width="8.7265625" style="54"/>
    <col min="5633" max="5633" width="13.6328125" style="54" customWidth="1"/>
    <col min="5634" max="5634" width="13.26953125" style="54" customWidth="1"/>
    <col min="5635" max="5635" width="17.08984375" style="54" bestFit="1" customWidth="1"/>
    <col min="5636" max="5636" width="8.08984375" style="54" bestFit="1" customWidth="1"/>
    <col min="5637" max="5637" width="10.6328125" style="54" customWidth="1"/>
    <col min="5638" max="5638" width="64.453125" style="54" bestFit="1" customWidth="1"/>
    <col min="5639" max="5888" width="8.7265625" style="54"/>
    <col min="5889" max="5889" width="13.6328125" style="54" customWidth="1"/>
    <col min="5890" max="5890" width="13.26953125" style="54" customWidth="1"/>
    <col min="5891" max="5891" width="17.08984375" style="54" bestFit="1" customWidth="1"/>
    <col min="5892" max="5892" width="8.08984375" style="54" bestFit="1" customWidth="1"/>
    <col min="5893" max="5893" width="10.6328125" style="54" customWidth="1"/>
    <col min="5894" max="5894" width="64.453125" style="54" bestFit="1" customWidth="1"/>
    <col min="5895" max="6144" width="8.7265625" style="54"/>
    <col min="6145" max="6145" width="13.6328125" style="54" customWidth="1"/>
    <col min="6146" max="6146" width="13.26953125" style="54" customWidth="1"/>
    <col min="6147" max="6147" width="17.08984375" style="54" bestFit="1" customWidth="1"/>
    <col min="6148" max="6148" width="8.08984375" style="54" bestFit="1" customWidth="1"/>
    <col min="6149" max="6149" width="10.6328125" style="54" customWidth="1"/>
    <col min="6150" max="6150" width="64.453125" style="54" bestFit="1" customWidth="1"/>
    <col min="6151" max="6400" width="8.7265625" style="54"/>
    <col min="6401" max="6401" width="13.6328125" style="54" customWidth="1"/>
    <col min="6402" max="6402" width="13.26953125" style="54" customWidth="1"/>
    <col min="6403" max="6403" width="17.08984375" style="54" bestFit="1" customWidth="1"/>
    <col min="6404" max="6404" width="8.08984375" style="54" bestFit="1" customWidth="1"/>
    <col min="6405" max="6405" width="10.6328125" style="54" customWidth="1"/>
    <col min="6406" max="6406" width="64.453125" style="54" bestFit="1" customWidth="1"/>
    <col min="6407" max="6656" width="8.7265625" style="54"/>
    <col min="6657" max="6657" width="13.6328125" style="54" customWidth="1"/>
    <col min="6658" max="6658" width="13.26953125" style="54" customWidth="1"/>
    <col min="6659" max="6659" width="17.08984375" style="54" bestFit="1" customWidth="1"/>
    <col min="6660" max="6660" width="8.08984375" style="54" bestFit="1" customWidth="1"/>
    <col min="6661" max="6661" width="10.6328125" style="54" customWidth="1"/>
    <col min="6662" max="6662" width="64.453125" style="54" bestFit="1" customWidth="1"/>
    <col min="6663" max="6912" width="8.7265625" style="54"/>
    <col min="6913" max="6913" width="13.6328125" style="54" customWidth="1"/>
    <col min="6914" max="6914" width="13.26953125" style="54" customWidth="1"/>
    <col min="6915" max="6915" width="17.08984375" style="54" bestFit="1" customWidth="1"/>
    <col min="6916" max="6916" width="8.08984375" style="54" bestFit="1" customWidth="1"/>
    <col min="6917" max="6917" width="10.6328125" style="54" customWidth="1"/>
    <col min="6918" max="6918" width="64.453125" style="54" bestFit="1" customWidth="1"/>
    <col min="6919" max="7168" width="8.7265625" style="54"/>
    <col min="7169" max="7169" width="13.6328125" style="54" customWidth="1"/>
    <col min="7170" max="7170" width="13.26953125" style="54" customWidth="1"/>
    <col min="7171" max="7171" width="17.08984375" style="54" bestFit="1" customWidth="1"/>
    <col min="7172" max="7172" width="8.08984375" style="54" bestFit="1" customWidth="1"/>
    <col min="7173" max="7173" width="10.6328125" style="54" customWidth="1"/>
    <col min="7174" max="7174" width="64.453125" style="54" bestFit="1" customWidth="1"/>
    <col min="7175" max="7424" width="8.7265625" style="54"/>
    <col min="7425" max="7425" width="13.6328125" style="54" customWidth="1"/>
    <col min="7426" max="7426" width="13.26953125" style="54" customWidth="1"/>
    <col min="7427" max="7427" width="17.08984375" style="54" bestFit="1" customWidth="1"/>
    <col min="7428" max="7428" width="8.08984375" style="54" bestFit="1" customWidth="1"/>
    <col min="7429" max="7429" width="10.6328125" style="54" customWidth="1"/>
    <col min="7430" max="7430" width="64.453125" style="54" bestFit="1" customWidth="1"/>
    <col min="7431" max="7680" width="8.7265625" style="54"/>
    <col min="7681" max="7681" width="13.6328125" style="54" customWidth="1"/>
    <col min="7682" max="7682" width="13.26953125" style="54" customWidth="1"/>
    <col min="7683" max="7683" width="17.08984375" style="54" bestFit="1" customWidth="1"/>
    <col min="7684" max="7684" width="8.08984375" style="54" bestFit="1" customWidth="1"/>
    <col min="7685" max="7685" width="10.6328125" style="54" customWidth="1"/>
    <col min="7686" max="7686" width="64.453125" style="54" bestFit="1" customWidth="1"/>
    <col min="7687" max="7936" width="8.7265625" style="54"/>
    <col min="7937" max="7937" width="13.6328125" style="54" customWidth="1"/>
    <col min="7938" max="7938" width="13.26953125" style="54" customWidth="1"/>
    <col min="7939" max="7939" width="17.08984375" style="54" bestFit="1" customWidth="1"/>
    <col min="7940" max="7940" width="8.08984375" style="54" bestFit="1" customWidth="1"/>
    <col min="7941" max="7941" width="10.6328125" style="54" customWidth="1"/>
    <col min="7942" max="7942" width="64.453125" style="54" bestFit="1" customWidth="1"/>
    <col min="7943" max="8192" width="8.7265625" style="54"/>
    <col min="8193" max="8193" width="13.6328125" style="54" customWidth="1"/>
    <col min="8194" max="8194" width="13.26953125" style="54" customWidth="1"/>
    <col min="8195" max="8195" width="17.08984375" style="54" bestFit="1" customWidth="1"/>
    <col min="8196" max="8196" width="8.08984375" style="54" bestFit="1" customWidth="1"/>
    <col min="8197" max="8197" width="10.6328125" style="54" customWidth="1"/>
    <col min="8198" max="8198" width="64.453125" style="54" bestFit="1" customWidth="1"/>
    <col min="8199" max="8448" width="8.7265625" style="54"/>
    <col min="8449" max="8449" width="13.6328125" style="54" customWidth="1"/>
    <col min="8450" max="8450" width="13.26953125" style="54" customWidth="1"/>
    <col min="8451" max="8451" width="17.08984375" style="54" bestFit="1" customWidth="1"/>
    <col min="8452" max="8452" width="8.08984375" style="54" bestFit="1" customWidth="1"/>
    <col min="8453" max="8453" width="10.6328125" style="54" customWidth="1"/>
    <col min="8454" max="8454" width="64.453125" style="54" bestFit="1" customWidth="1"/>
    <col min="8455" max="8704" width="8.7265625" style="54"/>
    <col min="8705" max="8705" width="13.6328125" style="54" customWidth="1"/>
    <col min="8706" max="8706" width="13.26953125" style="54" customWidth="1"/>
    <col min="8707" max="8707" width="17.08984375" style="54" bestFit="1" customWidth="1"/>
    <col min="8708" max="8708" width="8.08984375" style="54" bestFit="1" customWidth="1"/>
    <col min="8709" max="8709" width="10.6328125" style="54" customWidth="1"/>
    <col min="8710" max="8710" width="64.453125" style="54" bestFit="1" customWidth="1"/>
    <col min="8711" max="8960" width="8.7265625" style="54"/>
    <col min="8961" max="8961" width="13.6328125" style="54" customWidth="1"/>
    <col min="8962" max="8962" width="13.26953125" style="54" customWidth="1"/>
    <col min="8963" max="8963" width="17.08984375" style="54" bestFit="1" customWidth="1"/>
    <col min="8964" max="8964" width="8.08984375" style="54" bestFit="1" customWidth="1"/>
    <col min="8965" max="8965" width="10.6328125" style="54" customWidth="1"/>
    <col min="8966" max="8966" width="64.453125" style="54" bestFit="1" customWidth="1"/>
    <col min="8967" max="9216" width="8.7265625" style="54"/>
    <col min="9217" max="9217" width="13.6328125" style="54" customWidth="1"/>
    <col min="9218" max="9218" width="13.26953125" style="54" customWidth="1"/>
    <col min="9219" max="9219" width="17.08984375" style="54" bestFit="1" customWidth="1"/>
    <col min="9220" max="9220" width="8.08984375" style="54" bestFit="1" customWidth="1"/>
    <col min="9221" max="9221" width="10.6328125" style="54" customWidth="1"/>
    <col min="9222" max="9222" width="64.453125" style="54" bestFit="1" customWidth="1"/>
    <col min="9223" max="9472" width="8.7265625" style="54"/>
    <col min="9473" max="9473" width="13.6328125" style="54" customWidth="1"/>
    <col min="9474" max="9474" width="13.26953125" style="54" customWidth="1"/>
    <col min="9475" max="9475" width="17.08984375" style="54" bestFit="1" customWidth="1"/>
    <col min="9476" max="9476" width="8.08984375" style="54" bestFit="1" customWidth="1"/>
    <col min="9477" max="9477" width="10.6328125" style="54" customWidth="1"/>
    <col min="9478" max="9478" width="64.453125" style="54" bestFit="1" customWidth="1"/>
    <col min="9479" max="9728" width="8.7265625" style="54"/>
    <col min="9729" max="9729" width="13.6328125" style="54" customWidth="1"/>
    <col min="9730" max="9730" width="13.26953125" style="54" customWidth="1"/>
    <col min="9731" max="9731" width="17.08984375" style="54" bestFit="1" customWidth="1"/>
    <col min="9732" max="9732" width="8.08984375" style="54" bestFit="1" customWidth="1"/>
    <col min="9733" max="9733" width="10.6328125" style="54" customWidth="1"/>
    <col min="9734" max="9734" width="64.453125" style="54" bestFit="1" customWidth="1"/>
    <col min="9735" max="9984" width="8.7265625" style="54"/>
    <col min="9985" max="9985" width="13.6328125" style="54" customWidth="1"/>
    <col min="9986" max="9986" width="13.26953125" style="54" customWidth="1"/>
    <col min="9987" max="9987" width="17.08984375" style="54" bestFit="1" customWidth="1"/>
    <col min="9988" max="9988" width="8.08984375" style="54" bestFit="1" customWidth="1"/>
    <col min="9989" max="9989" width="10.6328125" style="54" customWidth="1"/>
    <col min="9990" max="9990" width="64.453125" style="54" bestFit="1" customWidth="1"/>
    <col min="9991" max="10240" width="8.7265625" style="54"/>
    <col min="10241" max="10241" width="13.6328125" style="54" customWidth="1"/>
    <col min="10242" max="10242" width="13.26953125" style="54" customWidth="1"/>
    <col min="10243" max="10243" width="17.08984375" style="54" bestFit="1" customWidth="1"/>
    <col min="10244" max="10244" width="8.08984375" style="54" bestFit="1" customWidth="1"/>
    <col min="10245" max="10245" width="10.6328125" style="54" customWidth="1"/>
    <col min="10246" max="10246" width="64.453125" style="54" bestFit="1" customWidth="1"/>
    <col min="10247" max="10496" width="8.7265625" style="54"/>
    <col min="10497" max="10497" width="13.6328125" style="54" customWidth="1"/>
    <col min="10498" max="10498" width="13.26953125" style="54" customWidth="1"/>
    <col min="10499" max="10499" width="17.08984375" style="54" bestFit="1" customWidth="1"/>
    <col min="10500" max="10500" width="8.08984375" style="54" bestFit="1" customWidth="1"/>
    <col min="10501" max="10501" width="10.6328125" style="54" customWidth="1"/>
    <col min="10502" max="10502" width="64.453125" style="54" bestFit="1" customWidth="1"/>
    <col min="10503" max="10752" width="8.7265625" style="54"/>
    <col min="10753" max="10753" width="13.6328125" style="54" customWidth="1"/>
    <col min="10754" max="10754" width="13.26953125" style="54" customWidth="1"/>
    <col min="10755" max="10755" width="17.08984375" style="54" bestFit="1" customWidth="1"/>
    <col min="10756" max="10756" width="8.08984375" style="54" bestFit="1" customWidth="1"/>
    <col min="10757" max="10757" width="10.6328125" style="54" customWidth="1"/>
    <col min="10758" max="10758" width="64.453125" style="54" bestFit="1" customWidth="1"/>
    <col min="10759" max="11008" width="8.7265625" style="54"/>
    <col min="11009" max="11009" width="13.6328125" style="54" customWidth="1"/>
    <col min="11010" max="11010" width="13.26953125" style="54" customWidth="1"/>
    <col min="11011" max="11011" width="17.08984375" style="54" bestFit="1" customWidth="1"/>
    <col min="11012" max="11012" width="8.08984375" style="54" bestFit="1" customWidth="1"/>
    <col min="11013" max="11013" width="10.6328125" style="54" customWidth="1"/>
    <col min="11014" max="11014" width="64.453125" style="54" bestFit="1" customWidth="1"/>
    <col min="11015" max="11264" width="8.7265625" style="54"/>
    <col min="11265" max="11265" width="13.6328125" style="54" customWidth="1"/>
    <col min="11266" max="11266" width="13.26953125" style="54" customWidth="1"/>
    <col min="11267" max="11267" width="17.08984375" style="54" bestFit="1" customWidth="1"/>
    <col min="11268" max="11268" width="8.08984375" style="54" bestFit="1" customWidth="1"/>
    <col min="11269" max="11269" width="10.6328125" style="54" customWidth="1"/>
    <col min="11270" max="11270" width="64.453125" style="54" bestFit="1" customWidth="1"/>
    <col min="11271" max="11520" width="8.7265625" style="54"/>
    <col min="11521" max="11521" width="13.6328125" style="54" customWidth="1"/>
    <col min="11522" max="11522" width="13.26953125" style="54" customWidth="1"/>
    <col min="11523" max="11523" width="17.08984375" style="54" bestFit="1" customWidth="1"/>
    <col min="11524" max="11524" width="8.08984375" style="54" bestFit="1" customWidth="1"/>
    <col min="11525" max="11525" width="10.6328125" style="54" customWidth="1"/>
    <col min="11526" max="11526" width="64.453125" style="54" bestFit="1" customWidth="1"/>
    <col min="11527" max="11776" width="8.7265625" style="54"/>
    <col min="11777" max="11777" width="13.6328125" style="54" customWidth="1"/>
    <col min="11778" max="11778" width="13.26953125" style="54" customWidth="1"/>
    <col min="11779" max="11779" width="17.08984375" style="54" bestFit="1" customWidth="1"/>
    <col min="11780" max="11780" width="8.08984375" style="54" bestFit="1" customWidth="1"/>
    <col min="11781" max="11781" width="10.6328125" style="54" customWidth="1"/>
    <col min="11782" max="11782" width="64.453125" style="54" bestFit="1" customWidth="1"/>
    <col min="11783" max="12032" width="8.7265625" style="54"/>
    <col min="12033" max="12033" width="13.6328125" style="54" customWidth="1"/>
    <col min="12034" max="12034" width="13.26953125" style="54" customWidth="1"/>
    <col min="12035" max="12035" width="17.08984375" style="54" bestFit="1" customWidth="1"/>
    <col min="12036" max="12036" width="8.08984375" style="54" bestFit="1" customWidth="1"/>
    <col min="12037" max="12037" width="10.6328125" style="54" customWidth="1"/>
    <col min="12038" max="12038" width="64.453125" style="54" bestFit="1" customWidth="1"/>
    <col min="12039" max="12288" width="8.7265625" style="54"/>
    <col min="12289" max="12289" width="13.6328125" style="54" customWidth="1"/>
    <col min="12290" max="12290" width="13.26953125" style="54" customWidth="1"/>
    <col min="12291" max="12291" width="17.08984375" style="54" bestFit="1" customWidth="1"/>
    <col min="12292" max="12292" width="8.08984375" style="54" bestFit="1" customWidth="1"/>
    <col min="12293" max="12293" width="10.6328125" style="54" customWidth="1"/>
    <col min="12294" max="12294" width="64.453125" style="54" bestFit="1" customWidth="1"/>
    <col min="12295" max="12544" width="8.7265625" style="54"/>
    <col min="12545" max="12545" width="13.6328125" style="54" customWidth="1"/>
    <col min="12546" max="12546" width="13.26953125" style="54" customWidth="1"/>
    <col min="12547" max="12547" width="17.08984375" style="54" bestFit="1" customWidth="1"/>
    <col min="12548" max="12548" width="8.08984375" style="54" bestFit="1" customWidth="1"/>
    <col min="12549" max="12549" width="10.6328125" style="54" customWidth="1"/>
    <col min="12550" max="12550" width="64.453125" style="54" bestFit="1" customWidth="1"/>
    <col min="12551" max="12800" width="8.7265625" style="54"/>
    <col min="12801" max="12801" width="13.6328125" style="54" customWidth="1"/>
    <col min="12802" max="12802" width="13.26953125" style="54" customWidth="1"/>
    <col min="12803" max="12803" width="17.08984375" style="54" bestFit="1" customWidth="1"/>
    <col min="12804" max="12804" width="8.08984375" style="54" bestFit="1" customWidth="1"/>
    <col min="12805" max="12805" width="10.6328125" style="54" customWidth="1"/>
    <col min="12806" max="12806" width="64.453125" style="54" bestFit="1" customWidth="1"/>
    <col min="12807" max="13056" width="8.7265625" style="54"/>
    <col min="13057" max="13057" width="13.6328125" style="54" customWidth="1"/>
    <col min="13058" max="13058" width="13.26953125" style="54" customWidth="1"/>
    <col min="13059" max="13059" width="17.08984375" style="54" bestFit="1" customWidth="1"/>
    <col min="13060" max="13060" width="8.08984375" style="54" bestFit="1" customWidth="1"/>
    <col min="13061" max="13061" width="10.6328125" style="54" customWidth="1"/>
    <col min="13062" max="13062" width="64.453125" style="54" bestFit="1" customWidth="1"/>
    <col min="13063" max="13312" width="8.7265625" style="54"/>
    <col min="13313" max="13313" width="13.6328125" style="54" customWidth="1"/>
    <col min="13314" max="13314" width="13.26953125" style="54" customWidth="1"/>
    <col min="13315" max="13315" width="17.08984375" style="54" bestFit="1" customWidth="1"/>
    <col min="13316" max="13316" width="8.08984375" style="54" bestFit="1" customWidth="1"/>
    <col min="13317" max="13317" width="10.6328125" style="54" customWidth="1"/>
    <col min="13318" max="13318" width="64.453125" style="54" bestFit="1" customWidth="1"/>
    <col min="13319" max="13568" width="8.7265625" style="54"/>
    <col min="13569" max="13569" width="13.6328125" style="54" customWidth="1"/>
    <col min="13570" max="13570" width="13.26953125" style="54" customWidth="1"/>
    <col min="13571" max="13571" width="17.08984375" style="54" bestFit="1" customWidth="1"/>
    <col min="13572" max="13572" width="8.08984375" style="54" bestFit="1" customWidth="1"/>
    <col min="13573" max="13573" width="10.6328125" style="54" customWidth="1"/>
    <col min="13574" max="13574" width="64.453125" style="54" bestFit="1" customWidth="1"/>
    <col min="13575" max="13824" width="8.7265625" style="54"/>
    <col min="13825" max="13825" width="13.6328125" style="54" customWidth="1"/>
    <col min="13826" max="13826" width="13.26953125" style="54" customWidth="1"/>
    <col min="13827" max="13827" width="17.08984375" style="54" bestFit="1" customWidth="1"/>
    <col min="13828" max="13828" width="8.08984375" style="54" bestFit="1" customWidth="1"/>
    <col min="13829" max="13829" width="10.6328125" style="54" customWidth="1"/>
    <col min="13830" max="13830" width="64.453125" style="54" bestFit="1" customWidth="1"/>
    <col min="13831" max="14080" width="8.7265625" style="54"/>
    <col min="14081" max="14081" width="13.6328125" style="54" customWidth="1"/>
    <col min="14082" max="14082" width="13.26953125" style="54" customWidth="1"/>
    <col min="14083" max="14083" width="17.08984375" style="54" bestFit="1" customWidth="1"/>
    <col min="14084" max="14084" width="8.08984375" style="54" bestFit="1" customWidth="1"/>
    <col min="14085" max="14085" width="10.6328125" style="54" customWidth="1"/>
    <col min="14086" max="14086" width="64.453125" style="54" bestFit="1" customWidth="1"/>
    <col min="14087" max="14336" width="8.7265625" style="54"/>
    <col min="14337" max="14337" width="13.6328125" style="54" customWidth="1"/>
    <col min="14338" max="14338" width="13.26953125" style="54" customWidth="1"/>
    <col min="14339" max="14339" width="17.08984375" style="54" bestFit="1" customWidth="1"/>
    <col min="14340" max="14340" width="8.08984375" style="54" bestFit="1" customWidth="1"/>
    <col min="14341" max="14341" width="10.6328125" style="54" customWidth="1"/>
    <col min="14342" max="14342" width="64.453125" style="54" bestFit="1" customWidth="1"/>
    <col min="14343" max="14592" width="8.7265625" style="54"/>
    <col min="14593" max="14593" width="13.6328125" style="54" customWidth="1"/>
    <col min="14594" max="14594" width="13.26953125" style="54" customWidth="1"/>
    <col min="14595" max="14595" width="17.08984375" style="54" bestFit="1" customWidth="1"/>
    <col min="14596" max="14596" width="8.08984375" style="54" bestFit="1" customWidth="1"/>
    <col min="14597" max="14597" width="10.6328125" style="54" customWidth="1"/>
    <col min="14598" max="14598" width="64.453125" style="54" bestFit="1" customWidth="1"/>
    <col min="14599" max="14848" width="8.7265625" style="54"/>
    <col min="14849" max="14849" width="13.6328125" style="54" customWidth="1"/>
    <col min="14850" max="14850" width="13.26953125" style="54" customWidth="1"/>
    <col min="14851" max="14851" width="17.08984375" style="54" bestFit="1" customWidth="1"/>
    <col min="14852" max="14852" width="8.08984375" style="54" bestFit="1" customWidth="1"/>
    <col min="14853" max="14853" width="10.6328125" style="54" customWidth="1"/>
    <col min="14854" max="14854" width="64.453125" style="54" bestFit="1" customWidth="1"/>
    <col min="14855" max="15104" width="8.7265625" style="54"/>
    <col min="15105" max="15105" width="13.6328125" style="54" customWidth="1"/>
    <col min="15106" max="15106" width="13.26953125" style="54" customWidth="1"/>
    <col min="15107" max="15107" width="17.08984375" style="54" bestFit="1" customWidth="1"/>
    <col min="15108" max="15108" width="8.08984375" style="54" bestFit="1" customWidth="1"/>
    <col min="15109" max="15109" width="10.6328125" style="54" customWidth="1"/>
    <col min="15110" max="15110" width="64.453125" style="54" bestFit="1" customWidth="1"/>
    <col min="15111" max="15360" width="8.7265625" style="54"/>
    <col min="15361" max="15361" width="13.6328125" style="54" customWidth="1"/>
    <col min="15362" max="15362" width="13.26953125" style="54" customWidth="1"/>
    <col min="15363" max="15363" width="17.08984375" style="54" bestFit="1" customWidth="1"/>
    <col min="15364" max="15364" width="8.08984375" style="54" bestFit="1" customWidth="1"/>
    <col min="15365" max="15365" width="10.6328125" style="54" customWidth="1"/>
    <col min="15366" max="15366" width="64.453125" style="54" bestFit="1" customWidth="1"/>
    <col min="15367" max="15616" width="8.7265625" style="54"/>
    <col min="15617" max="15617" width="13.6328125" style="54" customWidth="1"/>
    <col min="15618" max="15618" width="13.26953125" style="54" customWidth="1"/>
    <col min="15619" max="15619" width="17.08984375" style="54" bestFit="1" customWidth="1"/>
    <col min="15620" max="15620" width="8.08984375" style="54" bestFit="1" customWidth="1"/>
    <col min="15621" max="15621" width="10.6328125" style="54" customWidth="1"/>
    <col min="15622" max="15622" width="64.453125" style="54" bestFit="1" customWidth="1"/>
    <col min="15623" max="15872" width="8.7265625" style="54"/>
    <col min="15873" max="15873" width="13.6328125" style="54" customWidth="1"/>
    <col min="15874" max="15874" width="13.26953125" style="54" customWidth="1"/>
    <col min="15875" max="15875" width="17.08984375" style="54" bestFit="1" customWidth="1"/>
    <col min="15876" max="15876" width="8.08984375" style="54" bestFit="1" customWidth="1"/>
    <col min="15877" max="15877" width="10.6328125" style="54" customWidth="1"/>
    <col min="15878" max="15878" width="64.453125" style="54" bestFit="1" customWidth="1"/>
    <col min="15879" max="16128" width="8.7265625" style="54"/>
    <col min="16129" max="16129" width="13.6328125" style="54" customWidth="1"/>
    <col min="16130" max="16130" width="13.26953125" style="54" customWidth="1"/>
    <col min="16131" max="16131" width="17.08984375" style="54" bestFit="1" customWidth="1"/>
    <col min="16132" max="16132" width="8.08984375" style="54" bestFit="1" customWidth="1"/>
    <col min="16133" max="16133" width="10.6328125" style="54" customWidth="1"/>
    <col min="16134" max="16134" width="64.453125" style="54" bestFit="1" customWidth="1"/>
    <col min="16135" max="16384" width="8.7265625" style="54"/>
  </cols>
  <sheetData>
    <row r="1" spans="1:6" ht="14.4" customHeight="1">
      <c r="A1" s="488" t="s">
        <v>1020</v>
      </c>
      <c r="B1" s="488"/>
      <c r="C1" s="489" t="s">
        <v>1021</v>
      </c>
      <c r="D1" s="490"/>
      <c r="E1" s="396" t="s">
        <v>1022</v>
      </c>
      <c r="F1" s="397"/>
    </row>
    <row r="2" spans="1:6" ht="14.4" customHeight="1">
      <c r="A2" s="398" t="s">
        <v>1023</v>
      </c>
      <c r="B2" s="398" t="s">
        <v>1024</v>
      </c>
      <c r="C2" s="399" t="s">
        <v>1023</v>
      </c>
      <c r="D2" s="399" t="s">
        <v>1025</v>
      </c>
      <c r="E2" s="396" t="s">
        <v>1025</v>
      </c>
      <c r="F2" s="397"/>
    </row>
    <row r="3" spans="1:6" ht="27">
      <c r="A3" s="491" t="s">
        <v>1026</v>
      </c>
      <c r="B3" s="494" t="s">
        <v>1027</v>
      </c>
      <c r="C3" s="400" t="s">
        <v>1028</v>
      </c>
      <c r="D3" s="399">
        <v>15</v>
      </c>
      <c r="E3" s="396">
        <v>20</v>
      </c>
      <c r="F3" s="401" t="s">
        <v>1029</v>
      </c>
    </row>
    <row r="4" spans="1:6" ht="27">
      <c r="A4" s="492"/>
      <c r="B4" s="495"/>
      <c r="C4" s="400" t="s">
        <v>1030</v>
      </c>
      <c r="D4" s="399">
        <v>10</v>
      </c>
      <c r="E4" s="396">
        <v>10</v>
      </c>
      <c r="F4" s="401" t="s">
        <v>1031</v>
      </c>
    </row>
    <row r="5" spans="1:6" ht="14.4" customHeight="1">
      <c r="A5" s="492"/>
      <c r="B5" s="495"/>
      <c r="C5" s="400" t="s">
        <v>1032</v>
      </c>
      <c r="D5" s="399">
        <v>5</v>
      </c>
      <c r="E5" s="396">
        <v>5</v>
      </c>
      <c r="F5" s="402" t="s">
        <v>1033</v>
      </c>
    </row>
    <row r="6" spans="1:6" ht="14.4" customHeight="1">
      <c r="A6" s="493"/>
      <c r="B6" s="496"/>
      <c r="C6" s="398"/>
      <c r="D6" s="399"/>
      <c r="E6" s="396"/>
      <c r="F6" s="402"/>
    </row>
    <row r="7" spans="1:6" ht="14.4" customHeight="1">
      <c r="A7" s="491" t="s">
        <v>1034</v>
      </c>
      <c r="B7" s="494" t="s">
        <v>1035</v>
      </c>
      <c r="C7" s="398" t="s">
        <v>1036</v>
      </c>
      <c r="D7" s="399">
        <v>10</v>
      </c>
      <c r="E7" s="396"/>
      <c r="F7" s="402"/>
    </row>
    <row r="8" spans="1:6">
      <c r="A8" s="492"/>
      <c r="B8" s="495"/>
      <c r="C8" s="400" t="s">
        <v>1037</v>
      </c>
      <c r="D8" s="399">
        <v>5</v>
      </c>
      <c r="E8" s="396">
        <v>5</v>
      </c>
      <c r="F8" s="402" t="s">
        <v>1038</v>
      </c>
    </row>
    <row r="9" spans="1:6" ht="14.4" customHeight="1">
      <c r="A9" s="493"/>
      <c r="B9" s="496"/>
      <c r="C9" s="398" t="s">
        <v>1039</v>
      </c>
      <c r="D9" s="399">
        <v>5</v>
      </c>
      <c r="E9" s="396"/>
      <c r="F9" s="402" t="s">
        <v>1040</v>
      </c>
    </row>
    <row r="10" spans="1:6" ht="14.4" customHeight="1">
      <c r="A10" s="497" t="s">
        <v>1041</v>
      </c>
      <c r="B10" s="488" t="s">
        <v>1042</v>
      </c>
      <c r="C10" s="398" t="s">
        <v>1043</v>
      </c>
      <c r="D10" s="399">
        <v>10</v>
      </c>
      <c r="E10" s="396">
        <v>10</v>
      </c>
      <c r="F10" s="402" t="s">
        <v>1044</v>
      </c>
    </row>
    <row r="11" spans="1:6" ht="14.4" customHeight="1">
      <c r="A11" s="497"/>
      <c r="B11" s="488"/>
      <c r="C11" s="400" t="s">
        <v>1045</v>
      </c>
      <c r="D11" s="399">
        <v>5</v>
      </c>
      <c r="E11" s="396">
        <v>5</v>
      </c>
      <c r="F11" s="402" t="s">
        <v>1046</v>
      </c>
    </row>
    <row r="12" spans="1:6" ht="14.4" customHeight="1">
      <c r="A12" s="497"/>
      <c r="B12" s="488"/>
      <c r="C12" s="399" t="s">
        <v>1047</v>
      </c>
      <c r="D12" s="399">
        <v>5</v>
      </c>
      <c r="E12" s="396"/>
      <c r="F12" s="402"/>
    </row>
    <row r="13" spans="1:6" ht="40.5">
      <c r="A13" s="497" t="s">
        <v>1048</v>
      </c>
      <c r="B13" s="488" t="s">
        <v>1042</v>
      </c>
      <c r="C13" s="400" t="s">
        <v>1049</v>
      </c>
      <c r="D13" s="399">
        <v>15</v>
      </c>
      <c r="E13" s="396">
        <v>15</v>
      </c>
      <c r="F13" s="401" t="s">
        <v>1050</v>
      </c>
    </row>
    <row r="14" spans="1:6" ht="14.4" customHeight="1">
      <c r="A14" s="497"/>
      <c r="B14" s="488"/>
      <c r="C14" s="398" t="s">
        <v>1051</v>
      </c>
      <c r="D14" s="399">
        <v>15</v>
      </c>
      <c r="E14" s="396">
        <v>15</v>
      </c>
      <c r="F14" s="402"/>
    </row>
    <row r="15" spans="1:6">
      <c r="A15" s="500" t="s">
        <v>1057</v>
      </c>
      <c r="B15" s="501"/>
      <c r="C15" s="398" t="s">
        <v>1058</v>
      </c>
      <c r="D15" s="399">
        <v>5</v>
      </c>
      <c r="E15" s="396">
        <v>5</v>
      </c>
    </row>
    <row r="16" spans="1:6">
      <c r="A16" s="500"/>
      <c r="B16" s="502"/>
      <c r="C16" s="398" t="s">
        <v>1059</v>
      </c>
      <c r="D16" s="399">
        <v>5</v>
      </c>
      <c r="E16" s="396">
        <v>5</v>
      </c>
    </row>
    <row r="17" spans="1:5">
      <c r="A17" s="500"/>
      <c r="B17" s="503"/>
      <c r="C17" s="398" t="s">
        <v>1060</v>
      </c>
      <c r="D17" s="399">
        <v>5</v>
      </c>
      <c r="E17" s="396">
        <v>5</v>
      </c>
    </row>
    <row r="20" spans="1:5" ht="26">
      <c r="A20" s="403" t="s">
        <v>56</v>
      </c>
      <c r="B20" s="403" t="s">
        <v>1052</v>
      </c>
      <c r="C20" s="403" t="s">
        <v>1053</v>
      </c>
      <c r="D20" s="403" t="s">
        <v>1054</v>
      </c>
    </row>
    <row r="21" spans="1:5" ht="14.75" customHeight="1">
      <c r="A21" s="498">
        <v>1</v>
      </c>
      <c r="B21" s="499" t="str">
        <f>A3</f>
        <v>盈利能力状况</v>
      </c>
      <c r="C21" s="404" t="str">
        <f>C3</f>
        <v>资本利润率</v>
      </c>
      <c r="D21" s="405">
        <f>E3/100</f>
        <v>0.2</v>
      </c>
    </row>
    <row r="22" spans="1:5">
      <c r="A22" s="498"/>
      <c r="B22" s="499"/>
      <c r="C22" s="404" t="str">
        <f>C4</f>
        <v>资产利润率</v>
      </c>
      <c r="D22" s="405">
        <f>E4/100</f>
        <v>0.1</v>
      </c>
    </row>
    <row r="23" spans="1:5">
      <c r="A23" s="498"/>
      <c r="B23" s="499"/>
      <c r="C23" s="404" t="str">
        <f>C5</f>
        <v>成本收入比</v>
      </c>
      <c r="D23" s="405">
        <f>E5/100</f>
        <v>0.05</v>
      </c>
    </row>
    <row r="24" spans="1:5">
      <c r="A24" s="406">
        <v>2</v>
      </c>
      <c r="B24" s="407" t="str">
        <f>A7</f>
        <v>经营增长状况</v>
      </c>
      <c r="C24" s="404" t="str">
        <f>C8</f>
        <v>利润增长率</v>
      </c>
      <c r="D24" s="405">
        <f>E8/100</f>
        <v>0.05</v>
      </c>
    </row>
    <row r="25" spans="1:5">
      <c r="A25" s="498">
        <v>3</v>
      </c>
      <c r="B25" s="499" t="str">
        <f>A10</f>
        <v>资产质量状况</v>
      </c>
      <c r="C25" s="404" t="str">
        <f>C10</f>
        <v>不良贷款率</v>
      </c>
      <c r="D25" s="405">
        <f>E10/100</f>
        <v>0.1</v>
      </c>
    </row>
    <row r="26" spans="1:5">
      <c r="A26" s="498"/>
      <c r="B26" s="499"/>
      <c r="C26" s="404" t="str">
        <f>C11</f>
        <v>拨备覆盖率</v>
      </c>
      <c r="D26" s="405">
        <f>E11/100</f>
        <v>0.05</v>
      </c>
    </row>
    <row r="27" spans="1:5">
      <c r="A27" s="506">
        <v>4</v>
      </c>
      <c r="B27" s="504" t="str">
        <f>A13</f>
        <v>偿付能力状况</v>
      </c>
      <c r="C27" s="404" t="str">
        <f>C13</f>
        <v>资本充足率</v>
      </c>
      <c r="D27" s="405">
        <f>E13/100</f>
        <v>0.15</v>
      </c>
    </row>
    <row r="28" spans="1:5">
      <c r="A28" s="507"/>
      <c r="B28" s="505"/>
      <c r="C28" s="404" t="str">
        <f>C14</f>
        <v>核心资本充足率</v>
      </c>
      <c r="D28" s="405">
        <f>E14/100</f>
        <v>0.15</v>
      </c>
    </row>
    <row r="29" spans="1:5">
      <c r="A29" s="506">
        <v>5</v>
      </c>
      <c r="B29" s="500" t="s">
        <v>1057</v>
      </c>
      <c r="C29" s="398" t="s">
        <v>1058</v>
      </c>
      <c r="D29" s="405">
        <f>E15/100</f>
        <v>0.05</v>
      </c>
    </row>
    <row r="30" spans="1:5">
      <c r="A30" s="508"/>
      <c r="B30" s="500"/>
      <c r="C30" s="398" t="s">
        <v>1059</v>
      </c>
      <c r="D30" s="405">
        <f>E16/100</f>
        <v>0.05</v>
      </c>
    </row>
    <row r="31" spans="1:5">
      <c r="A31" s="507"/>
      <c r="B31" s="500"/>
      <c r="C31" s="398" t="s">
        <v>1060</v>
      </c>
      <c r="D31" s="405">
        <f>E17/100</f>
        <v>0.05</v>
      </c>
    </row>
    <row r="32" spans="1:5">
      <c r="A32" s="499" t="s">
        <v>1055</v>
      </c>
      <c r="B32" s="499"/>
      <c r="C32" s="499"/>
      <c r="D32" s="405">
        <f>SUM(D21:D31)</f>
        <v>1.0000000000000002</v>
      </c>
    </row>
  </sheetData>
  <mergeCells count="21">
    <mergeCell ref="B29:B31"/>
    <mergeCell ref="A25:A26"/>
    <mergeCell ref="B25:B26"/>
    <mergeCell ref="A32:C32"/>
    <mergeCell ref="A15:A17"/>
    <mergeCell ref="B15:B17"/>
    <mergeCell ref="B27:B28"/>
    <mergeCell ref="A27:A28"/>
    <mergeCell ref="A29:A31"/>
    <mergeCell ref="A10:A12"/>
    <mergeCell ref="B10:B12"/>
    <mergeCell ref="A13:A14"/>
    <mergeCell ref="B13:B14"/>
    <mergeCell ref="A21:A23"/>
    <mergeCell ref="B21:B23"/>
    <mergeCell ref="A1:B1"/>
    <mergeCell ref="C1:D1"/>
    <mergeCell ref="A3:A6"/>
    <mergeCell ref="B3:B6"/>
    <mergeCell ref="A7:A9"/>
    <mergeCell ref="B7:B9"/>
  </mergeCells>
  <phoneticPr fontId="6" type="noConversion"/>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379A6-8080-4C8C-8B17-0465836241B2}">
  <sheetPr>
    <pageSetUpPr fitToPage="1"/>
  </sheetPr>
  <dimension ref="A1:P65"/>
  <sheetViews>
    <sheetView topLeftCell="G1" zoomScaleNormal="100" workbookViewId="0">
      <selection activeCell="M30" sqref="M30:O30"/>
    </sheetView>
  </sheetViews>
  <sheetFormatPr defaultColWidth="9" defaultRowHeight="14"/>
  <cols>
    <col min="1" max="1" width="1.6328125" customWidth="1"/>
    <col min="2" max="2" width="21" customWidth="1"/>
    <col min="3" max="3" width="11" customWidth="1"/>
    <col min="4" max="5" width="16.453125" customWidth="1"/>
    <col min="6" max="7" width="17.453125" customWidth="1"/>
    <col min="8" max="8" width="11.36328125" customWidth="1"/>
    <col min="9" max="9" width="14.08984375" customWidth="1"/>
    <col min="10" max="10" width="19" customWidth="1"/>
    <col min="11" max="15" width="15.453125" customWidth="1"/>
    <col min="16" max="16" width="13.54296875" customWidth="1"/>
    <col min="257" max="257" width="1.6328125" customWidth="1"/>
    <col min="258" max="258" width="21" customWidth="1"/>
    <col min="259" max="262" width="11" customWidth="1"/>
    <col min="263" max="264" width="11.36328125" customWidth="1"/>
    <col min="265" max="265" width="14.08984375" customWidth="1"/>
    <col min="266" max="266" width="19" customWidth="1"/>
    <col min="267" max="270" width="9.6328125" customWidth="1"/>
    <col min="271" max="271" width="11.36328125" customWidth="1"/>
    <col min="272" max="272" width="13.54296875" customWidth="1"/>
    <col min="513" max="513" width="1.6328125" customWidth="1"/>
    <col min="514" max="514" width="21" customWidth="1"/>
    <col min="515" max="518" width="11" customWidth="1"/>
    <col min="519" max="520" width="11.36328125" customWidth="1"/>
    <col min="521" max="521" width="14.08984375" customWidth="1"/>
    <col min="522" max="522" width="19" customWidth="1"/>
    <col min="523" max="526" width="9.6328125" customWidth="1"/>
    <col min="527" max="527" width="11.36328125" customWidth="1"/>
    <col min="528" max="528" width="13.54296875" customWidth="1"/>
    <col min="769" max="769" width="1.6328125" customWidth="1"/>
    <col min="770" max="770" width="21" customWidth="1"/>
    <col min="771" max="774" width="11" customWidth="1"/>
    <col min="775" max="776" width="11.36328125" customWidth="1"/>
    <col min="777" max="777" width="14.08984375" customWidth="1"/>
    <col min="778" max="778" width="19" customWidth="1"/>
    <col min="779" max="782" width="9.6328125" customWidth="1"/>
    <col min="783" max="783" width="11.36328125" customWidth="1"/>
    <col min="784" max="784" width="13.54296875" customWidth="1"/>
    <col min="1025" max="1025" width="1.6328125" customWidth="1"/>
    <col min="1026" max="1026" width="21" customWidth="1"/>
    <col min="1027" max="1030" width="11" customWidth="1"/>
    <col min="1031" max="1032" width="11.36328125" customWidth="1"/>
    <col min="1033" max="1033" width="14.08984375" customWidth="1"/>
    <col min="1034" max="1034" width="19" customWidth="1"/>
    <col min="1035" max="1038" width="9.6328125" customWidth="1"/>
    <col min="1039" max="1039" width="11.36328125" customWidth="1"/>
    <col min="1040" max="1040" width="13.54296875" customWidth="1"/>
    <col min="1281" max="1281" width="1.6328125" customWidth="1"/>
    <col min="1282" max="1282" width="21" customWidth="1"/>
    <col min="1283" max="1286" width="11" customWidth="1"/>
    <col min="1287" max="1288" width="11.36328125" customWidth="1"/>
    <col min="1289" max="1289" width="14.08984375" customWidth="1"/>
    <col min="1290" max="1290" width="19" customWidth="1"/>
    <col min="1291" max="1294" width="9.6328125" customWidth="1"/>
    <col min="1295" max="1295" width="11.36328125" customWidth="1"/>
    <col min="1296" max="1296" width="13.54296875" customWidth="1"/>
    <col min="1537" max="1537" width="1.6328125" customWidth="1"/>
    <col min="1538" max="1538" width="21" customWidth="1"/>
    <col min="1539" max="1542" width="11" customWidth="1"/>
    <col min="1543" max="1544" width="11.36328125" customWidth="1"/>
    <col min="1545" max="1545" width="14.08984375" customWidth="1"/>
    <col min="1546" max="1546" width="19" customWidth="1"/>
    <col min="1547" max="1550" width="9.6328125" customWidth="1"/>
    <col min="1551" max="1551" width="11.36328125" customWidth="1"/>
    <col min="1552" max="1552" width="13.54296875" customWidth="1"/>
    <col min="1793" max="1793" width="1.6328125" customWidth="1"/>
    <col min="1794" max="1794" width="21" customWidth="1"/>
    <col min="1795" max="1798" width="11" customWidth="1"/>
    <col min="1799" max="1800" width="11.36328125" customWidth="1"/>
    <col min="1801" max="1801" width="14.08984375" customWidth="1"/>
    <col min="1802" max="1802" width="19" customWidth="1"/>
    <col min="1803" max="1806" width="9.6328125" customWidth="1"/>
    <col min="1807" max="1807" width="11.36328125" customWidth="1"/>
    <col min="1808" max="1808" width="13.54296875" customWidth="1"/>
    <col min="2049" max="2049" width="1.6328125" customWidth="1"/>
    <col min="2050" max="2050" width="21" customWidth="1"/>
    <col min="2051" max="2054" width="11" customWidth="1"/>
    <col min="2055" max="2056" width="11.36328125" customWidth="1"/>
    <col min="2057" max="2057" width="14.08984375" customWidth="1"/>
    <col min="2058" max="2058" width="19" customWidth="1"/>
    <col min="2059" max="2062" width="9.6328125" customWidth="1"/>
    <col min="2063" max="2063" width="11.36328125" customWidth="1"/>
    <col min="2064" max="2064" width="13.54296875" customWidth="1"/>
    <col min="2305" max="2305" width="1.6328125" customWidth="1"/>
    <col min="2306" max="2306" width="21" customWidth="1"/>
    <col min="2307" max="2310" width="11" customWidth="1"/>
    <col min="2311" max="2312" width="11.36328125" customWidth="1"/>
    <col min="2313" max="2313" width="14.08984375" customWidth="1"/>
    <col min="2314" max="2314" width="19" customWidth="1"/>
    <col min="2315" max="2318" width="9.6328125" customWidth="1"/>
    <col min="2319" max="2319" width="11.36328125" customWidth="1"/>
    <col min="2320" max="2320" width="13.54296875" customWidth="1"/>
    <col min="2561" max="2561" width="1.6328125" customWidth="1"/>
    <col min="2562" max="2562" width="21" customWidth="1"/>
    <col min="2563" max="2566" width="11" customWidth="1"/>
    <col min="2567" max="2568" width="11.36328125" customWidth="1"/>
    <col min="2569" max="2569" width="14.08984375" customWidth="1"/>
    <col min="2570" max="2570" width="19" customWidth="1"/>
    <col min="2571" max="2574" width="9.6328125" customWidth="1"/>
    <col min="2575" max="2575" width="11.36328125" customWidth="1"/>
    <col min="2576" max="2576" width="13.54296875" customWidth="1"/>
    <col min="2817" max="2817" width="1.6328125" customWidth="1"/>
    <col min="2818" max="2818" width="21" customWidth="1"/>
    <col min="2819" max="2822" width="11" customWidth="1"/>
    <col min="2823" max="2824" width="11.36328125" customWidth="1"/>
    <col min="2825" max="2825" width="14.08984375" customWidth="1"/>
    <col min="2826" max="2826" width="19" customWidth="1"/>
    <col min="2827" max="2830" width="9.6328125" customWidth="1"/>
    <col min="2831" max="2831" width="11.36328125" customWidth="1"/>
    <col min="2832" max="2832" width="13.54296875" customWidth="1"/>
    <col min="3073" max="3073" width="1.6328125" customWidth="1"/>
    <col min="3074" max="3074" width="21" customWidth="1"/>
    <col min="3075" max="3078" width="11" customWidth="1"/>
    <col min="3079" max="3080" width="11.36328125" customWidth="1"/>
    <col min="3081" max="3081" width="14.08984375" customWidth="1"/>
    <col min="3082" max="3082" width="19" customWidth="1"/>
    <col min="3083" max="3086" width="9.6328125" customWidth="1"/>
    <col min="3087" max="3087" width="11.36328125" customWidth="1"/>
    <col min="3088" max="3088" width="13.54296875" customWidth="1"/>
    <col min="3329" max="3329" width="1.6328125" customWidth="1"/>
    <col min="3330" max="3330" width="21" customWidth="1"/>
    <col min="3331" max="3334" width="11" customWidth="1"/>
    <col min="3335" max="3336" width="11.36328125" customWidth="1"/>
    <col min="3337" max="3337" width="14.08984375" customWidth="1"/>
    <col min="3338" max="3338" width="19" customWidth="1"/>
    <col min="3339" max="3342" width="9.6328125" customWidth="1"/>
    <col min="3343" max="3343" width="11.36328125" customWidth="1"/>
    <col min="3344" max="3344" width="13.54296875" customWidth="1"/>
    <col min="3585" max="3585" width="1.6328125" customWidth="1"/>
    <col min="3586" max="3586" width="21" customWidth="1"/>
    <col min="3587" max="3590" width="11" customWidth="1"/>
    <col min="3591" max="3592" width="11.36328125" customWidth="1"/>
    <col min="3593" max="3593" width="14.08984375" customWidth="1"/>
    <col min="3594" max="3594" width="19" customWidth="1"/>
    <col min="3595" max="3598" width="9.6328125" customWidth="1"/>
    <col min="3599" max="3599" width="11.36328125" customWidth="1"/>
    <col min="3600" max="3600" width="13.54296875" customWidth="1"/>
    <col min="3841" max="3841" width="1.6328125" customWidth="1"/>
    <col min="3842" max="3842" width="21" customWidth="1"/>
    <col min="3843" max="3846" width="11" customWidth="1"/>
    <col min="3847" max="3848" width="11.36328125" customWidth="1"/>
    <col min="3849" max="3849" width="14.08984375" customWidth="1"/>
    <col min="3850" max="3850" width="19" customWidth="1"/>
    <col min="3851" max="3854" width="9.6328125" customWidth="1"/>
    <col min="3855" max="3855" width="11.36328125" customWidth="1"/>
    <col min="3856" max="3856" width="13.54296875" customWidth="1"/>
    <col min="4097" max="4097" width="1.6328125" customWidth="1"/>
    <col min="4098" max="4098" width="21" customWidth="1"/>
    <col min="4099" max="4102" width="11" customWidth="1"/>
    <col min="4103" max="4104" width="11.36328125" customWidth="1"/>
    <col min="4105" max="4105" width="14.08984375" customWidth="1"/>
    <col min="4106" max="4106" width="19" customWidth="1"/>
    <col min="4107" max="4110" width="9.6328125" customWidth="1"/>
    <col min="4111" max="4111" width="11.36328125" customWidth="1"/>
    <col min="4112" max="4112" width="13.54296875" customWidth="1"/>
    <col min="4353" max="4353" width="1.6328125" customWidth="1"/>
    <col min="4354" max="4354" width="21" customWidth="1"/>
    <col min="4355" max="4358" width="11" customWidth="1"/>
    <col min="4359" max="4360" width="11.36328125" customWidth="1"/>
    <col min="4361" max="4361" width="14.08984375" customWidth="1"/>
    <col min="4362" max="4362" width="19" customWidth="1"/>
    <col min="4363" max="4366" width="9.6328125" customWidth="1"/>
    <col min="4367" max="4367" width="11.36328125" customWidth="1"/>
    <col min="4368" max="4368" width="13.54296875" customWidth="1"/>
    <col min="4609" max="4609" width="1.6328125" customWidth="1"/>
    <col min="4610" max="4610" width="21" customWidth="1"/>
    <col min="4611" max="4614" width="11" customWidth="1"/>
    <col min="4615" max="4616" width="11.36328125" customWidth="1"/>
    <col min="4617" max="4617" width="14.08984375" customWidth="1"/>
    <col min="4618" max="4618" width="19" customWidth="1"/>
    <col min="4619" max="4622" width="9.6328125" customWidth="1"/>
    <col min="4623" max="4623" width="11.36328125" customWidth="1"/>
    <col min="4624" max="4624" width="13.54296875" customWidth="1"/>
    <col min="4865" max="4865" width="1.6328125" customWidth="1"/>
    <col min="4866" max="4866" width="21" customWidth="1"/>
    <col min="4867" max="4870" width="11" customWidth="1"/>
    <col min="4871" max="4872" width="11.36328125" customWidth="1"/>
    <col min="4873" max="4873" width="14.08984375" customWidth="1"/>
    <col min="4874" max="4874" width="19" customWidth="1"/>
    <col min="4875" max="4878" width="9.6328125" customWidth="1"/>
    <col min="4879" max="4879" width="11.36328125" customWidth="1"/>
    <col min="4880" max="4880" width="13.54296875" customWidth="1"/>
    <col min="5121" max="5121" width="1.6328125" customWidth="1"/>
    <col min="5122" max="5122" width="21" customWidth="1"/>
    <col min="5123" max="5126" width="11" customWidth="1"/>
    <col min="5127" max="5128" width="11.36328125" customWidth="1"/>
    <col min="5129" max="5129" width="14.08984375" customWidth="1"/>
    <col min="5130" max="5130" width="19" customWidth="1"/>
    <col min="5131" max="5134" width="9.6328125" customWidth="1"/>
    <col min="5135" max="5135" width="11.36328125" customWidth="1"/>
    <col min="5136" max="5136" width="13.54296875" customWidth="1"/>
    <col min="5377" max="5377" width="1.6328125" customWidth="1"/>
    <col min="5378" max="5378" width="21" customWidth="1"/>
    <col min="5379" max="5382" width="11" customWidth="1"/>
    <col min="5383" max="5384" width="11.36328125" customWidth="1"/>
    <col min="5385" max="5385" width="14.08984375" customWidth="1"/>
    <col min="5386" max="5386" width="19" customWidth="1"/>
    <col min="5387" max="5390" width="9.6328125" customWidth="1"/>
    <col min="5391" max="5391" width="11.36328125" customWidth="1"/>
    <col min="5392" max="5392" width="13.54296875" customWidth="1"/>
    <col min="5633" max="5633" width="1.6328125" customWidth="1"/>
    <col min="5634" max="5634" width="21" customWidth="1"/>
    <col min="5635" max="5638" width="11" customWidth="1"/>
    <col min="5639" max="5640" width="11.36328125" customWidth="1"/>
    <col min="5641" max="5641" width="14.08984375" customWidth="1"/>
    <col min="5642" max="5642" width="19" customWidth="1"/>
    <col min="5643" max="5646" width="9.6328125" customWidth="1"/>
    <col min="5647" max="5647" width="11.36328125" customWidth="1"/>
    <col min="5648" max="5648" width="13.54296875" customWidth="1"/>
    <col min="5889" max="5889" width="1.6328125" customWidth="1"/>
    <col min="5890" max="5890" width="21" customWidth="1"/>
    <col min="5891" max="5894" width="11" customWidth="1"/>
    <col min="5895" max="5896" width="11.36328125" customWidth="1"/>
    <col min="5897" max="5897" width="14.08984375" customWidth="1"/>
    <col min="5898" max="5898" width="19" customWidth="1"/>
    <col min="5899" max="5902" width="9.6328125" customWidth="1"/>
    <col min="5903" max="5903" width="11.36328125" customWidth="1"/>
    <col min="5904" max="5904" width="13.54296875" customWidth="1"/>
    <col min="6145" max="6145" width="1.6328125" customWidth="1"/>
    <col min="6146" max="6146" width="21" customWidth="1"/>
    <col min="6147" max="6150" width="11" customWidth="1"/>
    <col min="6151" max="6152" width="11.36328125" customWidth="1"/>
    <col min="6153" max="6153" width="14.08984375" customWidth="1"/>
    <col min="6154" max="6154" width="19" customWidth="1"/>
    <col min="6155" max="6158" width="9.6328125" customWidth="1"/>
    <col min="6159" max="6159" width="11.36328125" customWidth="1"/>
    <col min="6160" max="6160" width="13.54296875" customWidth="1"/>
    <col min="6401" max="6401" width="1.6328125" customWidth="1"/>
    <col min="6402" max="6402" width="21" customWidth="1"/>
    <col min="6403" max="6406" width="11" customWidth="1"/>
    <col min="6407" max="6408" width="11.36328125" customWidth="1"/>
    <col min="6409" max="6409" width="14.08984375" customWidth="1"/>
    <col min="6410" max="6410" width="19" customWidth="1"/>
    <col min="6411" max="6414" width="9.6328125" customWidth="1"/>
    <col min="6415" max="6415" width="11.36328125" customWidth="1"/>
    <col min="6416" max="6416" width="13.54296875" customWidth="1"/>
    <col min="6657" max="6657" width="1.6328125" customWidth="1"/>
    <col min="6658" max="6658" width="21" customWidth="1"/>
    <col min="6659" max="6662" width="11" customWidth="1"/>
    <col min="6663" max="6664" width="11.36328125" customWidth="1"/>
    <col min="6665" max="6665" width="14.08984375" customWidth="1"/>
    <col min="6666" max="6666" width="19" customWidth="1"/>
    <col min="6667" max="6670" width="9.6328125" customWidth="1"/>
    <col min="6671" max="6671" width="11.36328125" customWidth="1"/>
    <col min="6672" max="6672" width="13.54296875" customWidth="1"/>
    <col min="6913" max="6913" width="1.6328125" customWidth="1"/>
    <col min="6914" max="6914" width="21" customWidth="1"/>
    <col min="6915" max="6918" width="11" customWidth="1"/>
    <col min="6919" max="6920" width="11.36328125" customWidth="1"/>
    <col min="6921" max="6921" width="14.08984375" customWidth="1"/>
    <col min="6922" max="6922" width="19" customWidth="1"/>
    <col min="6923" max="6926" width="9.6328125" customWidth="1"/>
    <col min="6927" max="6927" width="11.36328125" customWidth="1"/>
    <col min="6928" max="6928" width="13.54296875" customWidth="1"/>
    <col min="7169" max="7169" width="1.6328125" customWidth="1"/>
    <col min="7170" max="7170" width="21" customWidth="1"/>
    <col min="7171" max="7174" width="11" customWidth="1"/>
    <col min="7175" max="7176" width="11.36328125" customWidth="1"/>
    <col min="7177" max="7177" width="14.08984375" customWidth="1"/>
    <col min="7178" max="7178" width="19" customWidth="1"/>
    <col min="7179" max="7182" width="9.6328125" customWidth="1"/>
    <col min="7183" max="7183" width="11.36328125" customWidth="1"/>
    <col min="7184" max="7184" width="13.54296875" customWidth="1"/>
    <col min="7425" max="7425" width="1.6328125" customWidth="1"/>
    <col min="7426" max="7426" width="21" customWidth="1"/>
    <col min="7427" max="7430" width="11" customWidth="1"/>
    <col min="7431" max="7432" width="11.36328125" customWidth="1"/>
    <col min="7433" max="7433" width="14.08984375" customWidth="1"/>
    <col min="7434" max="7434" width="19" customWidth="1"/>
    <col min="7435" max="7438" width="9.6328125" customWidth="1"/>
    <col min="7439" max="7439" width="11.36328125" customWidth="1"/>
    <col min="7440" max="7440" width="13.54296875" customWidth="1"/>
    <col min="7681" max="7681" width="1.6328125" customWidth="1"/>
    <col min="7682" max="7682" width="21" customWidth="1"/>
    <col min="7683" max="7686" width="11" customWidth="1"/>
    <col min="7687" max="7688" width="11.36328125" customWidth="1"/>
    <col min="7689" max="7689" width="14.08984375" customWidth="1"/>
    <col min="7690" max="7690" width="19" customWidth="1"/>
    <col min="7691" max="7694" width="9.6328125" customWidth="1"/>
    <col min="7695" max="7695" width="11.36328125" customWidth="1"/>
    <col min="7696" max="7696" width="13.54296875" customWidth="1"/>
    <col min="7937" max="7937" width="1.6328125" customWidth="1"/>
    <col min="7938" max="7938" width="21" customWidth="1"/>
    <col min="7939" max="7942" width="11" customWidth="1"/>
    <col min="7943" max="7944" width="11.36328125" customWidth="1"/>
    <col min="7945" max="7945" width="14.08984375" customWidth="1"/>
    <col min="7946" max="7946" width="19" customWidth="1"/>
    <col min="7947" max="7950" width="9.6328125" customWidth="1"/>
    <col min="7951" max="7951" width="11.36328125" customWidth="1"/>
    <col min="7952" max="7952" width="13.54296875" customWidth="1"/>
    <col min="8193" max="8193" width="1.6328125" customWidth="1"/>
    <col min="8194" max="8194" width="21" customWidth="1"/>
    <col min="8195" max="8198" width="11" customWidth="1"/>
    <col min="8199" max="8200" width="11.36328125" customWidth="1"/>
    <col min="8201" max="8201" width="14.08984375" customWidth="1"/>
    <col min="8202" max="8202" width="19" customWidth="1"/>
    <col min="8203" max="8206" width="9.6328125" customWidth="1"/>
    <col min="8207" max="8207" width="11.36328125" customWidth="1"/>
    <col min="8208" max="8208" width="13.54296875" customWidth="1"/>
    <col min="8449" max="8449" width="1.6328125" customWidth="1"/>
    <col min="8450" max="8450" width="21" customWidth="1"/>
    <col min="8451" max="8454" width="11" customWidth="1"/>
    <col min="8455" max="8456" width="11.36328125" customWidth="1"/>
    <col min="8457" max="8457" width="14.08984375" customWidth="1"/>
    <col min="8458" max="8458" width="19" customWidth="1"/>
    <col min="8459" max="8462" width="9.6328125" customWidth="1"/>
    <col min="8463" max="8463" width="11.36328125" customWidth="1"/>
    <col min="8464" max="8464" width="13.54296875" customWidth="1"/>
    <col min="8705" max="8705" width="1.6328125" customWidth="1"/>
    <col min="8706" max="8706" width="21" customWidth="1"/>
    <col min="8707" max="8710" width="11" customWidth="1"/>
    <col min="8711" max="8712" width="11.36328125" customWidth="1"/>
    <col min="8713" max="8713" width="14.08984375" customWidth="1"/>
    <col min="8714" max="8714" width="19" customWidth="1"/>
    <col min="8715" max="8718" width="9.6328125" customWidth="1"/>
    <col min="8719" max="8719" width="11.36328125" customWidth="1"/>
    <col min="8720" max="8720" width="13.54296875" customWidth="1"/>
    <col min="8961" max="8961" width="1.6328125" customWidth="1"/>
    <col min="8962" max="8962" width="21" customWidth="1"/>
    <col min="8963" max="8966" width="11" customWidth="1"/>
    <col min="8967" max="8968" width="11.36328125" customWidth="1"/>
    <col min="8969" max="8969" width="14.08984375" customWidth="1"/>
    <col min="8970" max="8970" width="19" customWidth="1"/>
    <col min="8971" max="8974" width="9.6328125" customWidth="1"/>
    <col min="8975" max="8975" width="11.36328125" customWidth="1"/>
    <col min="8976" max="8976" width="13.54296875" customWidth="1"/>
    <col min="9217" max="9217" width="1.6328125" customWidth="1"/>
    <col min="9218" max="9218" width="21" customWidth="1"/>
    <col min="9219" max="9222" width="11" customWidth="1"/>
    <col min="9223" max="9224" width="11.36328125" customWidth="1"/>
    <col min="9225" max="9225" width="14.08984375" customWidth="1"/>
    <col min="9226" max="9226" width="19" customWidth="1"/>
    <col min="9227" max="9230" width="9.6328125" customWidth="1"/>
    <col min="9231" max="9231" width="11.36328125" customWidth="1"/>
    <col min="9232" max="9232" width="13.54296875" customWidth="1"/>
    <col min="9473" max="9473" width="1.6328125" customWidth="1"/>
    <col min="9474" max="9474" width="21" customWidth="1"/>
    <col min="9475" max="9478" width="11" customWidth="1"/>
    <col min="9479" max="9480" width="11.36328125" customWidth="1"/>
    <col min="9481" max="9481" width="14.08984375" customWidth="1"/>
    <col min="9482" max="9482" width="19" customWidth="1"/>
    <col min="9483" max="9486" width="9.6328125" customWidth="1"/>
    <col min="9487" max="9487" width="11.36328125" customWidth="1"/>
    <col min="9488" max="9488" width="13.54296875" customWidth="1"/>
    <col min="9729" max="9729" width="1.6328125" customWidth="1"/>
    <col min="9730" max="9730" width="21" customWidth="1"/>
    <col min="9731" max="9734" width="11" customWidth="1"/>
    <col min="9735" max="9736" width="11.36328125" customWidth="1"/>
    <col min="9737" max="9737" width="14.08984375" customWidth="1"/>
    <col min="9738" max="9738" width="19" customWidth="1"/>
    <col min="9739" max="9742" width="9.6328125" customWidth="1"/>
    <col min="9743" max="9743" width="11.36328125" customWidth="1"/>
    <col min="9744" max="9744" width="13.54296875" customWidth="1"/>
    <col min="9985" max="9985" width="1.6328125" customWidth="1"/>
    <col min="9986" max="9986" width="21" customWidth="1"/>
    <col min="9987" max="9990" width="11" customWidth="1"/>
    <col min="9991" max="9992" width="11.36328125" customWidth="1"/>
    <col min="9993" max="9993" width="14.08984375" customWidth="1"/>
    <col min="9994" max="9994" width="19" customWidth="1"/>
    <col min="9995" max="9998" width="9.6328125" customWidth="1"/>
    <col min="9999" max="9999" width="11.36328125" customWidth="1"/>
    <col min="10000" max="10000" width="13.54296875" customWidth="1"/>
    <col min="10241" max="10241" width="1.6328125" customWidth="1"/>
    <col min="10242" max="10242" width="21" customWidth="1"/>
    <col min="10243" max="10246" width="11" customWidth="1"/>
    <col min="10247" max="10248" width="11.36328125" customWidth="1"/>
    <col min="10249" max="10249" width="14.08984375" customWidth="1"/>
    <col min="10250" max="10250" width="19" customWidth="1"/>
    <col min="10251" max="10254" width="9.6328125" customWidth="1"/>
    <col min="10255" max="10255" width="11.36328125" customWidth="1"/>
    <col min="10256" max="10256" width="13.54296875" customWidth="1"/>
    <col min="10497" max="10497" width="1.6328125" customWidth="1"/>
    <col min="10498" max="10498" width="21" customWidth="1"/>
    <col min="10499" max="10502" width="11" customWidth="1"/>
    <col min="10503" max="10504" width="11.36328125" customWidth="1"/>
    <col min="10505" max="10505" width="14.08984375" customWidth="1"/>
    <col min="10506" max="10506" width="19" customWidth="1"/>
    <col min="10507" max="10510" width="9.6328125" customWidth="1"/>
    <col min="10511" max="10511" width="11.36328125" customWidth="1"/>
    <col min="10512" max="10512" width="13.54296875" customWidth="1"/>
    <col min="10753" max="10753" width="1.6328125" customWidth="1"/>
    <col min="10754" max="10754" width="21" customWidth="1"/>
    <col min="10755" max="10758" width="11" customWidth="1"/>
    <col min="10759" max="10760" width="11.36328125" customWidth="1"/>
    <col min="10761" max="10761" width="14.08984375" customWidth="1"/>
    <col min="10762" max="10762" width="19" customWidth="1"/>
    <col min="10763" max="10766" width="9.6328125" customWidth="1"/>
    <col min="10767" max="10767" width="11.36328125" customWidth="1"/>
    <col min="10768" max="10768" width="13.54296875" customWidth="1"/>
    <col min="11009" max="11009" width="1.6328125" customWidth="1"/>
    <col min="11010" max="11010" width="21" customWidth="1"/>
    <col min="11011" max="11014" width="11" customWidth="1"/>
    <col min="11015" max="11016" width="11.36328125" customWidth="1"/>
    <col min="11017" max="11017" width="14.08984375" customWidth="1"/>
    <col min="11018" max="11018" width="19" customWidth="1"/>
    <col min="11019" max="11022" width="9.6328125" customWidth="1"/>
    <col min="11023" max="11023" width="11.36328125" customWidth="1"/>
    <col min="11024" max="11024" width="13.54296875" customWidth="1"/>
    <col min="11265" max="11265" width="1.6328125" customWidth="1"/>
    <col min="11266" max="11266" width="21" customWidth="1"/>
    <col min="11267" max="11270" width="11" customWidth="1"/>
    <col min="11271" max="11272" width="11.36328125" customWidth="1"/>
    <col min="11273" max="11273" width="14.08984375" customWidth="1"/>
    <col min="11274" max="11274" width="19" customWidth="1"/>
    <col min="11275" max="11278" width="9.6328125" customWidth="1"/>
    <col min="11279" max="11279" width="11.36328125" customWidth="1"/>
    <col min="11280" max="11280" width="13.54296875" customWidth="1"/>
    <col min="11521" max="11521" width="1.6328125" customWidth="1"/>
    <col min="11522" max="11522" width="21" customWidth="1"/>
    <col min="11523" max="11526" width="11" customWidth="1"/>
    <col min="11527" max="11528" width="11.36328125" customWidth="1"/>
    <col min="11529" max="11529" width="14.08984375" customWidth="1"/>
    <col min="11530" max="11530" width="19" customWidth="1"/>
    <col min="11531" max="11534" width="9.6328125" customWidth="1"/>
    <col min="11535" max="11535" width="11.36328125" customWidth="1"/>
    <col min="11536" max="11536" width="13.54296875" customWidth="1"/>
    <col min="11777" max="11777" width="1.6328125" customWidth="1"/>
    <col min="11778" max="11778" width="21" customWidth="1"/>
    <col min="11779" max="11782" width="11" customWidth="1"/>
    <col min="11783" max="11784" width="11.36328125" customWidth="1"/>
    <col min="11785" max="11785" width="14.08984375" customWidth="1"/>
    <col min="11786" max="11786" width="19" customWidth="1"/>
    <col min="11787" max="11790" width="9.6328125" customWidth="1"/>
    <col min="11791" max="11791" width="11.36328125" customWidth="1"/>
    <col min="11792" max="11792" width="13.54296875" customWidth="1"/>
    <col min="12033" max="12033" width="1.6328125" customWidth="1"/>
    <col min="12034" max="12034" width="21" customWidth="1"/>
    <col min="12035" max="12038" width="11" customWidth="1"/>
    <col min="12039" max="12040" width="11.36328125" customWidth="1"/>
    <col min="12041" max="12041" width="14.08984375" customWidth="1"/>
    <col min="12042" max="12042" width="19" customWidth="1"/>
    <col min="12043" max="12046" width="9.6328125" customWidth="1"/>
    <col min="12047" max="12047" width="11.36328125" customWidth="1"/>
    <col min="12048" max="12048" width="13.54296875" customWidth="1"/>
    <col min="12289" max="12289" width="1.6328125" customWidth="1"/>
    <col min="12290" max="12290" width="21" customWidth="1"/>
    <col min="12291" max="12294" width="11" customWidth="1"/>
    <col min="12295" max="12296" width="11.36328125" customWidth="1"/>
    <col min="12297" max="12297" width="14.08984375" customWidth="1"/>
    <col min="12298" max="12298" width="19" customWidth="1"/>
    <col min="12299" max="12302" width="9.6328125" customWidth="1"/>
    <col min="12303" max="12303" width="11.36328125" customWidth="1"/>
    <col min="12304" max="12304" width="13.54296875" customWidth="1"/>
    <col min="12545" max="12545" width="1.6328125" customWidth="1"/>
    <col min="12546" max="12546" width="21" customWidth="1"/>
    <col min="12547" max="12550" width="11" customWidth="1"/>
    <col min="12551" max="12552" width="11.36328125" customWidth="1"/>
    <col min="12553" max="12553" width="14.08984375" customWidth="1"/>
    <col min="12554" max="12554" width="19" customWidth="1"/>
    <col min="12555" max="12558" width="9.6328125" customWidth="1"/>
    <col min="12559" max="12559" width="11.36328125" customWidth="1"/>
    <col min="12560" max="12560" width="13.54296875" customWidth="1"/>
    <col min="12801" max="12801" width="1.6328125" customWidth="1"/>
    <col min="12802" max="12802" width="21" customWidth="1"/>
    <col min="12803" max="12806" width="11" customWidth="1"/>
    <col min="12807" max="12808" width="11.36328125" customWidth="1"/>
    <col min="12809" max="12809" width="14.08984375" customWidth="1"/>
    <col min="12810" max="12810" width="19" customWidth="1"/>
    <col min="12811" max="12814" width="9.6328125" customWidth="1"/>
    <col min="12815" max="12815" width="11.36328125" customWidth="1"/>
    <col min="12816" max="12816" width="13.54296875" customWidth="1"/>
    <col min="13057" max="13057" width="1.6328125" customWidth="1"/>
    <col min="13058" max="13058" width="21" customWidth="1"/>
    <col min="13059" max="13062" width="11" customWidth="1"/>
    <col min="13063" max="13064" width="11.36328125" customWidth="1"/>
    <col min="13065" max="13065" width="14.08984375" customWidth="1"/>
    <col min="13066" max="13066" width="19" customWidth="1"/>
    <col min="13067" max="13070" width="9.6328125" customWidth="1"/>
    <col min="13071" max="13071" width="11.36328125" customWidth="1"/>
    <col min="13072" max="13072" width="13.54296875" customWidth="1"/>
    <col min="13313" max="13313" width="1.6328125" customWidth="1"/>
    <col min="13314" max="13314" width="21" customWidth="1"/>
    <col min="13315" max="13318" width="11" customWidth="1"/>
    <col min="13319" max="13320" width="11.36328125" customWidth="1"/>
    <col min="13321" max="13321" width="14.08984375" customWidth="1"/>
    <col min="13322" max="13322" width="19" customWidth="1"/>
    <col min="13323" max="13326" width="9.6328125" customWidth="1"/>
    <col min="13327" max="13327" width="11.36328125" customWidth="1"/>
    <col min="13328" max="13328" width="13.54296875" customWidth="1"/>
    <col min="13569" max="13569" width="1.6328125" customWidth="1"/>
    <col min="13570" max="13570" width="21" customWidth="1"/>
    <col min="13571" max="13574" width="11" customWidth="1"/>
    <col min="13575" max="13576" width="11.36328125" customWidth="1"/>
    <col min="13577" max="13577" width="14.08984375" customWidth="1"/>
    <col min="13578" max="13578" width="19" customWidth="1"/>
    <col min="13579" max="13582" width="9.6328125" customWidth="1"/>
    <col min="13583" max="13583" width="11.36328125" customWidth="1"/>
    <col min="13584" max="13584" width="13.54296875" customWidth="1"/>
    <col min="13825" max="13825" width="1.6328125" customWidth="1"/>
    <col min="13826" max="13826" width="21" customWidth="1"/>
    <col min="13827" max="13830" width="11" customWidth="1"/>
    <col min="13831" max="13832" width="11.36328125" customWidth="1"/>
    <col min="13833" max="13833" width="14.08984375" customWidth="1"/>
    <col min="13834" max="13834" width="19" customWidth="1"/>
    <col min="13835" max="13838" width="9.6328125" customWidth="1"/>
    <col min="13839" max="13839" width="11.36328125" customWidth="1"/>
    <col min="13840" max="13840" width="13.54296875" customWidth="1"/>
    <col min="14081" max="14081" width="1.6328125" customWidth="1"/>
    <col min="14082" max="14082" width="21" customWidth="1"/>
    <col min="14083" max="14086" width="11" customWidth="1"/>
    <col min="14087" max="14088" width="11.36328125" customWidth="1"/>
    <col min="14089" max="14089" width="14.08984375" customWidth="1"/>
    <col min="14090" max="14090" width="19" customWidth="1"/>
    <col min="14091" max="14094" width="9.6328125" customWidth="1"/>
    <col min="14095" max="14095" width="11.36328125" customWidth="1"/>
    <col min="14096" max="14096" width="13.54296875" customWidth="1"/>
    <col min="14337" max="14337" width="1.6328125" customWidth="1"/>
    <col min="14338" max="14338" width="21" customWidth="1"/>
    <col min="14339" max="14342" width="11" customWidth="1"/>
    <col min="14343" max="14344" width="11.36328125" customWidth="1"/>
    <col min="14345" max="14345" width="14.08984375" customWidth="1"/>
    <col min="14346" max="14346" width="19" customWidth="1"/>
    <col min="14347" max="14350" width="9.6328125" customWidth="1"/>
    <col min="14351" max="14351" width="11.36328125" customWidth="1"/>
    <col min="14352" max="14352" width="13.54296875" customWidth="1"/>
    <col min="14593" max="14593" width="1.6328125" customWidth="1"/>
    <col min="14594" max="14594" width="21" customWidth="1"/>
    <col min="14595" max="14598" width="11" customWidth="1"/>
    <col min="14599" max="14600" width="11.36328125" customWidth="1"/>
    <col min="14601" max="14601" width="14.08984375" customWidth="1"/>
    <col min="14602" max="14602" width="19" customWidth="1"/>
    <col min="14603" max="14606" width="9.6328125" customWidth="1"/>
    <col min="14607" max="14607" width="11.36328125" customWidth="1"/>
    <col min="14608" max="14608" width="13.54296875" customWidth="1"/>
    <col min="14849" max="14849" width="1.6328125" customWidth="1"/>
    <col min="14850" max="14850" width="21" customWidth="1"/>
    <col min="14851" max="14854" width="11" customWidth="1"/>
    <col min="14855" max="14856" width="11.36328125" customWidth="1"/>
    <col min="14857" max="14857" width="14.08984375" customWidth="1"/>
    <col min="14858" max="14858" width="19" customWidth="1"/>
    <col min="14859" max="14862" width="9.6328125" customWidth="1"/>
    <col min="14863" max="14863" width="11.36328125" customWidth="1"/>
    <col min="14864" max="14864" width="13.54296875" customWidth="1"/>
    <col min="15105" max="15105" width="1.6328125" customWidth="1"/>
    <col min="15106" max="15106" width="21" customWidth="1"/>
    <col min="15107" max="15110" width="11" customWidth="1"/>
    <col min="15111" max="15112" width="11.36328125" customWidth="1"/>
    <col min="15113" max="15113" width="14.08984375" customWidth="1"/>
    <col min="15114" max="15114" width="19" customWidth="1"/>
    <col min="15115" max="15118" width="9.6328125" customWidth="1"/>
    <col min="15119" max="15119" width="11.36328125" customWidth="1"/>
    <col min="15120" max="15120" width="13.54296875" customWidth="1"/>
    <col min="15361" max="15361" width="1.6328125" customWidth="1"/>
    <col min="15362" max="15362" width="21" customWidth="1"/>
    <col min="15363" max="15366" width="11" customWidth="1"/>
    <col min="15367" max="15368" width="11.36328125" customWidth="1"/>
    <col min="15369" max="15369" width="14.08984375" customWidth="1"/>
    <col min="15370" max="15370" width="19" customWidth="1"/>
    <col min="15371" max="15374" width="9.6328125" customWidth="1"/>
    <col min="15375" max="15375" width="11.36328125" customWidth="1"/>
    <col min="15376" max="15376" width="13.54296875" customWidth="1"/>
    <col min="15617" max="15617" width="1.6328125" customWidth="1"/>
    <col min="15618" max="15618" width="21" customWidth="1"/>
    <col min="15619" max="15622" width="11" customWidth="1"/>
    <col min="15623" max="15624" width="11.36328125" customWidth="1"/>
    <col min="15625" max="15625" width="14.08984375" customWidth="1"/>
    <col min="15626" max="15626" width="19" customWidth="1"/>
    <col min="15627" max="15630" width="9.6328125" customWidth="1"/>
    <col min="15631" max="15631" width="11.36328125" customWidth="1"/>
    <col min="15632" max="15632" width="13.54296875" customWidth="1"/>
    <col min="15873" max="15873" width="1.6328125" customWidth="1"/>
    <col min="15874" max="15874" width="21" customWidth="1"/>
    <col min="15875" max="15878" width="11" customWidth="1"/>
    <col min="15879" max="15880" width="11.36328125" customWidth="1"/>
    <col min="15881" max="15881" width="14.08984375" customWidth="1"/>
    <col min="15882" max="15882" width="19" customWidth="1"/>
    <col min="15883" max="15886" width="9.6328125" customWidth="1"/>
    <col min="15887" max="15887" width="11.36328125" customWidth="1"/>
    <col min="15888" max="15888" width="13.54296875" customWidth="1"/>
    <col min="16129" max="16129" width="1.6328125" customWidth="1"/>
    <col min="16130" max="16130" width="21" customWidth="1"/>
    <col min="16131" max="16134" width="11" customWidth="1"/>
    <col min="16135" max="16136" width="11.36328125" customWidth="1"/>
    <col min="16137" max="16137" width="14.08984375" customWidth="1"/>
    <col min="16138" max="16138" width="19" customWidth="1"/>
    <col min="16139" max="16142" width="9.6328125" customWidth="1"/>
    <col min="16143" max="16143" width="11.36328125" customWidth="1"/>
    <col min="16144" max="16144" width="13.54296875" customWidth="1"/>
  </cols>
  <sheetData>
    <row r="1" spans="1:16" ht="45" customHeight="1">
      <c r="B1" s="373" t="s">
        <v>973</v>
      </c>
      <c r="C1" s="373"/>
      <c r="D1" s="373"/>
      <c r="E1" s="374"/>
      <c r="F1" s="374"/>
      <c r="G1" s="374"/>
      <c r="H1" s="374"/>
      <c r="J1" s="373" t="s">
        <v>974</v>
      </c>
      <c r="K1" s="373"/>
      <c r="L1" s="373"/>
      <c r="M1" s="374"/>
      <c r="N1" s="374"/>
      <c r="O1" s="374"/>
    </row>
    <row r="2" spans="1:16" ht="15.5">
      <c r="B2" s="375" t="str">
        <f>[2]封面!A12</f>
        <v>评估基准日：2023年12月31日</v>
      </c>
      <c r="C2" s="375"/>
      <c r="D2" s="375"/>
      <c r="E2" s="376"/>
      <c r="F2" s="376"/>
      <c r="G2" s="376"/>
      <c r="H2" s="376"/>
      <c r="J2" s="423"/>
      <c r="K2" s="375"/>
      <c r="L2" s="375" t="str">
        <f>B2</f>
        <v>评估基准日：2023年12月31日</v>
      </c>
      <c r="M2" s="376"/>
      <c r="N2" s="376"/>
      <c r="O2" s="376"/>
    </row>
    <row r="3" spans="1:16" ht="15.5">
      <c r="B3" s="377" t="s">
        <v>1226</v>
      </c>
      <c r="C3" s="377"/>
      <c r="D3" s="377"/>
      <c r="E3" s="435"/>
      <c r="F3" s="435"/>
      <c r="G3" s="378" t="s">
        <v>975</v>
      </c>
      <c r="H3" s="378"/>
      <c r="J3" s="377" t="str">
        <f>B3</f>
        <v>桂林银行股份有限公司</v>
      </c>
      <c r="K3" s="377"/>
      <c r="L3" s="377"/>
      <c r="O3" s="378" t="s">
        <v>975</v>
      </c>
    </row>
    <row r="4" spans="1:16" ht="13.5" customHeight="1">
      <c r="B4" s="379" t="s">
        <v>976</v>
      </c>
      <c r="C4" s="380" t="s">
        <v>1212</v>
      </c>
      <c r="D4" s="380" t="s">
        <v>1213</v>
      </c>
      <c r="E4" s="380" t="s">
        <v>1214</v>
      </c>
      <c r="F4" s="380" t="s">
        <v>1215</v>
      </c>
      <c r="G4" s="380" t="s">
        <v>1216</v>
      </c>
      <c r="H4" s="381" t="s">
        <v>756</v>
      </c>
      <c r="J4" s="379" t="s">
        <v>976</v>
      </c>
      <c r="K4" s="380" t="str">
        <f>C4</f>
        <v>2017年</v>
      </c>
      <c r="L4" s="380" t="str">
        <f>D4</f>
        <v>2018年</v>
      </c>
      <c r="M4" s="380" t="str">
        <f>E4</f>
        <v>2019年</v>
      </c>
      <c r="N4" s="380" t="str">
        <f>F4</f>
        <v>2020年</v>
      </c>
      <c r="O4" s="380" t="str">
        <f>G4</f>
        <v>2021年</v>
      </c>
    </row>
    <row r="5" spans="1:16" ht="13.5" customHeight="1">
      <c r="A5" s="149"/>
      <c r="B5" s="382" t="s">
        <v>977</v>
      </c>
      <c r="C5" s="433"/>
      <c r="D5" s="433"/>
      <c r="E5" s="433"/>
      <c r="F5" s="433"/>
      <c r="G5" s="433"/>
      <c r="H5" s="433"/>
      <c r="J5" s="383" t="s">
        <v>31</v>
      </c>
      <c r="K5" s="433">
        <f>SUM(K6,K9,K12,K14,K15,K16,K17,K18)</f>
        <v>0</v>
      </c>
      <c r="L5" s="433">
        <f>SUM(L6,L9,L12,L14,L15,L16,L17,L18)</f>
        <v>652901.06700000004</v>
      </c>
      <c r="M5" s="433">
        <f>SUM(M6,M9,M12,M14,M15,M16,M17,M18)</f>
        <v>728069.62089999998</v>
      </c>
      <c r="N5" s="433">
        <f>SUM(N6,N9,N12,N14,N15,N16,N17,N18)</f>
        <v>789203.93800000008</v>
      </c>
      <c r="O5" s="433">
        <f>SUM(O6,O9,O12,O14,O15,O16,O17,O18)</f>
        <v>951155.69500000007</v>
      </c>
      <c r="P5" s="52"/>
    </row>
    <row r="6" spans="1:16" ht="13.5" customHeight="1">
      <c r="A6" s="149"/>
      <c r="B6" s="384" t="s">
        <v>978</v>
      </c>
      <c r="C6" s="385"/>
      <c r="D6" s="385">
        <v>2743231.5101999999</v>
      </c>
      <c r="E6" s="385">
        <v>2444023.4449</v>
      </c>
      <c r="F6" s="385">
        <v>2200038.9276000001</v>
      </c>
      <c r="G6" s="385">
        <v>2726651.2247000001</v>
      </c>
      <c r="H6" s="385"/>
      <c r="J6" s="383" t="s">
        <v>979</v>
      </c>
      <c r="K6" s="433">
        <f>K7-K8</f>
        <v>0</v>
      </c>
      <c r="L6" s="433">
        <f>L7-L8</f>
        <v>480465.86660000007</v>
      </c>
      <c r="M6" s="433">
        <f>M7-M8</f>
        <v>541905.97219999996</v>
      </c>
      <c r="N6" s="433">
        <f>N7-N8</f>
        <v>488397.41630000016</v>
      </c>
      <c r="O6" s="433">
        <f>O7-O8</f>
        <v>853442.3517</v>
      </c>
    </row>
    <row r="7" spans="1:16" ht="13.5" customHeight="1">
      <c r="A7" s="149"/>
      <c r="B7" s="384" t="s">
        <v>982</v>
      </c>
      <c r="C7" s="385"/>
      <c r="D7" s="385">
        <v>896801.94680000003</v>
      </c>
      <c r="E7" s="385">
        <v>465799.03730000003</v>
      </c>
      <c r="F7" s="385">
        <v>769540.92180000001</v>
      </c>
      <c r="G7" s="385">
        <v>1069731.1769999999</v>
      </c>
      <c r="H7" s="385"/>
      <c r="J7" s="383" t="s">
        <v>980</v>
      </c>
      <c r="K7" s="385"/>
      <c r="L7" s="385">
        <v>1150749.8107</v>
      </c>
      <c r="M7" s="385">
        <v>1367791.0678999999</v>
      </c>
      <c r="N7" s="385">
        <v>1454567.9865000001</v>
      </c>
      <c r="O7" s="385">
        <v>1935863.8652999999</v>
      </c>
    </row>
    <row r="8" spans="1:16" ht="13.5" customHeight="1">
      <c r="A8" s="149"/>
      <c r="B8" s="384" t="s">
        <v>985</v>
      </c>
      <c r="C8" s="385"/>
      <c r="D8" s="385">
        <v>100000</v>
      </c>
      <c r="E8" s="385">
        <v>120889.60000000001</v>
      </c>
      <c r="F8" s="385">
        <v>95500</v>
      </c>
      <c r="G8" s="385">
        <v>92940.910499999998</v>
      </c>
      <c r="H8" s="385"/>
      <c r="J8" s="383" t="s">
        <v>981</v>
      </c>
      <c r="K8" s="385"/>
      <c r="L8" s="385">
        <v>670283.94409999996</v>
      </c>
      <c r="M8" s="385">
        <v>825885.09569999995</v>
      </c>
      <c r="N8" s="385">
        <v>966170.57019999996</v>
      </c>
      <c r="O8" s="385">
        <v>1082421.5135999999</v>
      </c>
    </row>
    <row r="9" spans="1:16" ht="13.5" customHeight="1">
      <c r="A9" s="149"/>
      <c r="B9" s="387" t="s">
        <v>1192</v>
      </c>
      <c r="C9" s="385"/>
      <c r="D9" s="385">
        <v>0</v>
      </c>
      <c r="E9" s="385">
        <v>0</v>
      </c>
      <c r="F9" s="385">
        <v>0</v>
      </c>
      <c r="G9" s="385">
        <v>0</v>
      </c>
      <c r="H9" s="385"/>
      <c r="J9" s="383" t="s">
        <v>983</v>
      </c>
      <c r="K9" s="433">
        <f>K10-K11</f>
        <v>0</v>
      </c>
      <c r="L9" s="433">
        <f>L10-L11</f>
        <v>51279.505799999999</v>
      </c>
      <c r="M9" s="433">
        <f>M10-M11</f>
        <v>2749.9111000000048</v>
      </c>
      <c r="N9" s="433">
        <f>N10-N11</f>
        <v>8783.9443000000028</v>
      </c>
      <c r="O9" s="433">
        <f>O10-O11</f>
        <v>8963.8977000000014</v>
      </c>
    </row>
    <row r="10" spans="1:16" ht="13.5" customHeight="1">
      <c r="A10" s="386"/>
      <c r="B10" s="387" t="s">
        <v>2</v>
      </c>
      <c r="C10" s="385"/>
      <c r="D10" s="385">
        <v>120421.15089999999</v>
      </c>
      <c r="E10" s="385">
        <v>1011812.6698</v>
      </c>
      <c r="F10" s="385">
        <v>1043131.106</v>
      </c>
      <c r="G10" s="385">
        <v>1518015.2285</v>
      </c>
      <c r="H10" s="385"/>
      <c r="J10" s="383" t="s">
        <v>984</v>
      </c>
      <c r="K10" s="385"/>
      <c r="L10" s="385">
        <v>78116.525099999999</v>
      </c>
      <c r="M10" s="385">
        <v>53675.138400000003</v>
      </c>
      <c r="N10" s="385">
        <v>59520.532200000001</v>
      </c>
      <c r="O10" s="385">
        <v>69589.5723</v>
      </c>
    </row>
    <row r="11" spans="1:16" ht="13.5" customHeight="1">
      <c r="A11" s="149"/>
      <c r="B11" s="384" t="s">
        <v>988</v>
      </c>
      <c r="C11" s="385"/>
      <c r="D11" s="385">
        <v>981153.92</v>
      </c>
      <c r="E11" s="385">
        <v>1593709.1</v>
      </c>
      <c r="F11" s="385">
        <v>1327456.9722</v>
      </c>
      <c r="G11" s="385">
        <v>2208338.5770999999</v>
      </c>
      <c r="H11" s="385"/>
      <c r="J11" s="383" t="s">
        <v>986</v>
      </c>
      <c r="K11" s="385"/>
      <c r="L11" s="385">
        <v>26837.0193</v>
      </c>
      <c r="M11" s="385">
        <v>50925.227299999999</v>
      </c>
      <c r="N11" s="385">
        <v>50736.587899999999</v>
      </c>
      <c r="O11" s="385">
        <v>60625.674599999998</v>
      </c>
    </row>
    <row r="12" spans="1:16" ht="13.5" customHeight="1">
      <c r="A12" s="149"/>
      <c r="B12" s="384" t="s">
        <v>4</v>
      </c>
      <c r="C12" s="385"/>
      <c r="D12" s="385">
        <v>243949.0698</v>
      </c>
      <c r="E12" s="385">
        <v>327405.46470000001</v>
      </c>
      <c r="F12" s="385">
        <v>424140.39319999999</v>
      </c>
      <c r="G12" s="385">
        <v>0</v>
      </c>
      <c r="H12" s="385"/>
      <c r="J12" s="383" t="s">
        <v>32</v>
      </c>
      <c r="K12" s="385"/>
      <c r="L12" s="385">
        <v>111026.3031</v>
      </c>
      <c r="M12" s="385">
        <v>176969.80900000001</v>
      </c>
      <c r="N12" s="385">
        <v>282032.1177</v>
      </c>
      <c r="O12" s="385">
        <v>43880.429199999999</v>
      </c>
    </row>
    <row r="13" spans="1:16" ht="13.5" customHeight="1">
      <c r="A13" s="149"/>
      <c r="B13" s="384" t="s">
        <v>989</v>
      </c>
      <c r="C13" s="385"/>
      <c r="D13" s="385">
        <v>0</v>
      </c>
      <c r="E13" s="385">
        <v>0</v>
      </c>
      <c r="F13" s="385">
        <v>0</v>
      </c>
      <c r="G13" s="385">
        <v>0</v>
      </c>
      <c r="H13" s="385"/>
      <c r="J13" s="383" t="s">
        <v>987</v>
      </c>
      <c r="K13" s="385"/>
      <c r="L13" s="385">
        <v>0</v>
      </c>
      <c r="M13" s="385">
        <v>0</v>
      </c>
      <c r="N13" s="385">
        <v>0</v>
      </c>
      <c r="O13" s="385">
        <v>0</v>
      </c>
    </row>
    <row r="14" spans="1:16" ht="13.5" customHeight="1">
      <c r="A14" s="149"/>
      <c r="B14" s="384" t="s">
        <v>1193</v>
      </c>
      <c r="C14" s="385"/>
      <c r="D14" s="385">
        <v>13575707.477399999</v>
      </c>
      <c r="E14" s="385">
        <v>16576856.3598</v>
      </c>
      <c r="F14" s="385">
        <v>20286442.710499998</v>
      </c>
      <c r="G14" s="385">
        <v>24213048.294799998</v>
      </c>
      <c r="H14" s="385"/>
      <c r="J14" s="383" t="s">
        <v>1194</v>
      </c>
      <c r="K14" s="385"/>
      <c r="L14" s="385">
        <v>4666.9696000000004</v>
      </c>
      <c r="M14" s="385">
        <v>3039.8811999999998</v>
      </c>
      <c r="N14" s="385">
        <v>-2663.3814000000002</v>
      </c>
      <c r="O14" s="385">
        <v>1374.6534999999999</v>
      </c>
    </row>
    <row r="15" spans="1:16" ht="13.5" customHeight="1">
      <c r="A15" s="149"/>
      <c r="B15" s="384" t="s">
        <v>6</v>
      </c>
      <c r="C15" s="385"/>
      <c r="D15" s="385">
        <v>933299.56929999997</v>
      </c>
      <c r="E15" s="385">
        <v>959563.13560000004</v>
      </c>
      <c r="F15" s="385">
        <v>857668.6115</v>
      </c>
      <c r="G15" s="385">
        <v>0</v>
      </c>
      <c r="H15" s="385"/>
      <c r="J15" s="383" t="s">
        <v>990</v>
      </c>
      <c r="K15" s="385"/>
      <c r="L15" s="385">
        <v>2447.4234000000001</v>
      </c>
      <c r="M15" s="385">
        <v>1817.7988</v>
      </c>
      <c r="N15" s="385">
        <v>1722.0332000000001</v>
      </c>
      <c r="O15" s="385">
        <v>2515.8143</v>
      </c>
    </row>
    <row r="16" spans="1:16" ht="13.5" customHeight="1">
      <c r="A16" s="149"/>
      <c r="B16" s="384" t="s">
        <v>991</v>
      </c>
      <c r="C16" s="385"/>
      <c r="D16" s="385">
        <v>0</v>
      </c>
      <c r="E16" s="385">
        <v>0</v>
      </c>
      <c r="F16" s="385">
        <v>0</v>
      </c>
      <c r="G16" s="385">
        <v>113158.4942</v>
      </c>
      <c r="H16" s="385"/>
      <c r="J16" s="383" t="s">
        <v>34</v>
      </c>
      <c r="K16" s="385"/>
      <c r="L16" s="385">
        <v>203.40180000000001</v>
      </c>
      <c r="M16" s="385">
        <v>172.03980000000001</v>
      </c>
      <c r="N16" s="385">
        <v>119.1549</v>
      </c>
      <c r="O16" s="385">
        <v>179.54150000000001</v>
      </c>
    </row>
    <row r="17" spans="1:16" ht="13.5" customHeight="1">
      <c r="A17" s="149"/>
      <c r="B17" s="384" t="s">
        <v>1217</v>
      </c>
      <c r="C17" s="385"/>
      <c r="D17" s="385">
        <v>2266218.4183999998</v>
      </c>
      <c r="E17" s="385">
        <v>3340901.8076999998</v>
      </c>
      <c r="F17" s="385">
        <v>6508580.5521999998</v>
      </c>
      <c r="G17" s="385">
        <v>0</v>
      </c>
      <c r="H17" s="385"/>
      <c r="J17" s="383" t="s">
        <v>216</v>
      </c>
      <c r="K17" s="385"/>
      <c r="L17" s="385">
        <v>23.060700000000001</v>
      </c>
      <c r="M17" s="385">
        <v>4.9413999999999998</v>
      </c>
      <c r="N17" s="385">
        <v>147.68979999999999</v>
      </c>
      <c r="O17" s="385">
        <v>42.403300000000002</v>
      </c>
    </row>
    <row r="18" spans="1:16" ht="13.5" customHeight="1">
      <c r="A18" s="149"/>
      <c r="B18" s="384" t="s">
        <v>993</v>
      </c>
      <c r="C18" s="385"/>
      <c r="D18" s="385">
        <v>0</v>
      </c>
      <c r="E18" s="385">
        <v>0</v>
      </c>
      <c r="F18" s="385">
        <v>0</v>
      </c>
      <c r="G18" s="385">
        <v>11475622.3705</v>
      </c>
      <c r="H18" s="385"/>
      <c r="J18" s="383" t="s">
        <v>992</v>
      </c>
      <c r="K18" s="385"/>
      <c r="L18" s="385">
        <v>2788.5360000000001</v>
      </c>
      <c r="M18" s="385">
        <v>1409.2674</v>
      </c>
      <c r="N18" s="385">
        <v>10664.9632</v>
      </c>
      <c r="O18" s="385">
        <v>40756.603799999997</v>
      </c>
    </row>
    <row r="19" spans="1:16" ht="13.5" customHeight="1">
      <c r="A19" s="149"/>
      <c r="B19" s="384" t="s">
        <v>994</v>
      </c>
      <c r="C19" s="385"/>
      <c r="D19" s="385">
        <v>0</v>
      </c>
      <c r="E19" s="385">
        <v>0</v>
      </c>
      <c r="F19" s="385">
        <v>0</v>
      </c>
      <c r="G19" s="385">
        <v>2349.0073000000002</v>
      </c>
      <c r="H19" s="385"/>
      <c r="J19" s="388" t="s">
        <v>35</v>
      </c>
      <c r="K19" s="433">
        <f>SUM(K20:K24)</f>
        <v>0</v>
      </c>
      <c r="L19" s="433">
        <f>SUM(L20:L24)</f>
        <v>457668.2401</v>
      </c>
      <c r="M19" s="433">
        <f>SUM(M20:M24)</f>
        <v>578744.73579999991</v>
      </c>
      <c r="N19" s="433">
        <f>SUM(N20:N24)</f>
        <v>653544.11340000015</v>
      </c>
      <c r="O19" s="433">
        <f>SUM(O20:O24)</f>
        <v>795116.75040000014</v>
      </c>
    </row>
    <row r="20" spans="1:16" ht="13.5" customHeight="1">
      <c r="A20" s="149"/>
      <c r="B20" s="384" t="s">
        <v>27</v>
      </c>
      <c r="C20" s="385"/>
      <c r="D20" s="385">
        <v>0</v>
      </c>
      <c r="E20" s="385">
        <v>0</v>
      </c>
      <c r="F20" s="385">
        <v>0</v>
      </c>
      <c r="G20" s="385">
        <v>0</v>
      </c>
      <c r="H20" s="385"/>
      <c r="J20" s="383" t="s">
        <v>995</v>
      </c>
      <c r="K20" s="385"/>
      <c r="L20" s="385">
        <v>6385.0555999999997</v>
      </c>
      <c r="M20" s="385">
        <v>8281.7572</v>
      </c>
      <c r="N20" s="385">
        <v>14852.9686</v>
      </c>
      <c r="O20" s="385">
        <v>16016.805399999999</v>
      </c>
    </row>
    <row r="21" spans="1:16" ht="13.5" customHeight="1">
      <c r="A21" s="149"/>
      <c r="B21" s="384" t="s">
        <v>1218</v>
      </c>
      <c r="C21" s="385"/>
      <c r="D21" s="385">
        <v>4407965.9115000004</v>
      </c>
      <c r="E21" s="385">
        <v>3822009.4081999999</v>
      </c>
      <c r="F21" s="385">
        <v>3602687.0126</v>
      </c>
      <c r="G21" s="385">
        <v>0</v>
      </c>
      <c r="H21" s="385"/>
      <c r="J21" s="383" t="s">
        <v>37</v>
      </c>
      <c r="K21" s="385"/>
      <c r="L21" s="385">
        <v>206376.82800000001</v>
      </c>
      <c r="M21" s="385">
        <v>254266.15909999999</v>
      </c>
      <c r="N21" s="385">
        <v>281855.11070000002</v>
      </c>
      <c r="O21" s="385">
        <v>339545.70890000003</v>
      </c>
    </row>
    <row r="22" spans="1:16" ht="13.5" customHeight="1">
      <c r="A22" s="149"/>
      <c r="B22" s="384" t="s">
        <v>8</v>
      </c>
      <c r="C22" s="385"/>
      <c r="D22" s="385">
        <v>97.670400000000001</v>
      </c>
      <c r="E22" s="385">
        <v>90.545299999999997</v>
      </c>
      <c r="F22" s="385">
        <v>2.1141000000000001</v>
      </c>
      <c r="G22" s="385">
        <v>0</v>
      </c>
      <c r="H22" s="385"/>
      <c r="J22" s="383" t="s">
        <v>1198</v>
      </c>
      <c r="K22" s="385"/>
      <c r="L22" s="385">
        <v>0</v>
      </c>
      <c r="M22" s="385">
        <v>0</v>
      </c>
      <c r="N22" s="385">
        <v>0</v>
      </c>
      <c r="O22" s="385">
        <v>433126.9914</v>
      </c>
    </row>
    <row r="23" spans="1:16" ht="13.5" customHeight="1">
      <c r="A23" s="149"/>
      <c r="B23" s="384" t="s">
        <v>996</v>
      </c>
      <c r="C23" s="385"/>
      <c r="D23" s="385">
        <v>0</v>
      </c>
      <c r="E23" s="385">
        <v>0</v>
      </c>
      <c r="F23" s="385">
        <v>0</v>
      </c>
      <c r="G23" s="385">
        <v>0</v>
      </c>
      <c r="H23" s="385"/>
      <c r="J23" s="383" t="s">
        <v>1200</v>
      </c>
      <c r="K23" s="385"/>
      <c r="L23" s="385">
        <v>244902.60250000001</v>
      </c>
      <c r="M23" s="385">
        <v>316189.69439999998</v>
      </c>
      <c r="N23" s="385">
        <v>356829.02220000001</v>
      </c>
      <c r="O23" s="385">
        <v>6418.6738999999998</v>
      </c>
    </row>
    <row r="24" spans="1:16" ht="13.5" customHeight="1">
      <c r="A24" s="149"/>
      <c r="B24" s="384" t="s">
        <v>1195</v>
      </c>
      <c r="C24" s="385"/>
      <c r="D24" s="385">
        <v>51513.080499999996</v>
      </c>
      <c r="E24" s="385">
        <v>172420.96369999999</v>
      </c>
      <c r="F24" s="385">
        <v>179182.34049999999</v>
      </c>
      <c r="G24" s="385">
        <v>204620.8941</v>
      </c>
      <c r="H24" s="385"/>
      <c r="J24" s="383" t="s">
        <v>38</v>
      </c>
      <c r="K24" s="385"/>
      <c r="L24" s="385">
        <v>3.754</v>
      </c>
      <c r="M24" s="385">
        <v>7.1250999999999998</v>
      </c>
      <c r="N24" s="385">
        <v>7.0118999999999998</v>
      </c>
      <c r="O24" s="385">
        <v>8.5708000000000002</v>
      </c>
    </row>
    <row r="25" spans="1:16" ht="13.5" customHeight="1">
      <c r="A25" s="149"/>
      <c r="B25" s="384" t="s">
        <v>1196</v>
      </c>
      <c r="C25" s="385"/>
      <c r="D25" s="385">
        <v>114594.8413</v>
      </c>
      <c r="E25" s="385">
        <v>30250.034800000001</v>
      </c>
      <c r="F25" s="385">
        <v>34087.237500000003</v>
      </c>
      <c r="G25" s="385">
        <v>22777.563099999999</v>
      </c>
      <c r="H25" s="385"/>
      <c r="J25" s="383" t="s">
        <v>39</v>
      </c>
      <c r="K25" s="433">
        <f>K5-K19</f>
        <v>0</v>
      </c>
      <c r="L25" s="433">
        <f>L5-L19</f>
        <v>195232.82690000004</v>
      </c>
      <c r="M25" s="433">
        <f>M5-M19</f>
        <v>149324.88510000007</v>
      </c>
      <c r="N25" s="433">
        <f>N5-N19</f>
        <v>135659.82459999993</v>
      </c>
      <c r="O25" s="433">
        <f>O5-O19</f>
        <v>156038.94459999993</v>
      </c>
    </row>
    <row r="26" spans="1:16" ht="13.5" customHeight="1">
      <c r="A26" s="149"/>
      <c r="B26" s="384"/>
      <c r="C26" s="385"/>
      <c r="D26" s="385">
        <v>0</v>
      </c>
      <c r="E26" s="385">
        <v>0</v>
      </c>
      <c r="F26" s="385">
        <v>0</v>
      </c>
      <c r="G26" s="385">
        <v>0</v>
      </c>
      <c r="H26" s="385"/>
      <c r="J26" s="383" t="s">
        <v>40</v>
      </c>
      <c r="K26" s="385"/>
      <c r="L26" s="385">
        <v>670.46130000000005</v>
      </c>
      <c r="M26" s="385">
        <v>368.90379999999999</v>
      </c>
      <c r="N26" s="385">
        <v>1286.7518</v>
      </c>
      <c r="O26" s="385">
        <v>750.82039999999995</v>
      </c>
    </row>
    <row r="27" spans="1:16" ht="13.5" customHeight="1">
      <c r="A27" s="149"/>
      <c r="B27" s="384" t="s">
        <v>1197</v>
      </c>
      <c r="C27" s="385"/>
      <c r="D27" s="385">
        <v>0</v>
      </c>
      <c r="E27" s="385">
        <v>0</v>
      </c>
      <c r="F27" s="385">
        <v>0</v>
      </c>
      <c r="G27" s="385">
        <v>63600.740299999998</v>
      </c>
      <c r="H27" s="385"/>
      <c r="J27" s="383" t="s">
        <v>41</v>
      </c>
      <c r="K27" s="385"/>
      <c r="L27" s="385">
        <v>1038.3791000000001</v>
      </c>
      <c r="M27" s="385">
        <v>1519.6279999999999</v>
      </c>
      <c r="N27" s="385">
        <v>6131.4251999999997</v>
      </c>
      <c r="O27" s="385">
        <v>1488.4597000000001</v>
      </c>
    </row>
    <row r="28" spans="1:16" ht="13.5" customHeight="1">
      <c r="A28" s="149"/>
      <c r="B28" s="384" t="s">
        <v>1199</v>
      </c>
      <c r="C28" s="385"/>
      <c r="D28" s="385">
        <v>13406.8338</v>
      </c>
      <c r="E28" s="385">
        <v>24805.244299999998</v>
      </c>
      <c r="F28" s="385">
        <v>33768.317999999999</v>
      </c>
      <c r="G28" s="385">
        <v>37014.629999999997</v>
      </c>
      <c r="H28" s="385"/>
      <c r="J28" s="388" t="s">
        <v>42</v>
      </c>
      <c r="K28" s="433">
        <f>K25+K26-K27</f>
        <v>0</v>
      </c>
      <c r="L28" s="433">
        <f>L25+L26-L27</f>
        <v>194864.90910000005</v>
      </c>
      <c r="M28" s="433">
        <f>M25+M26-M27</f>
        <v>148174.16090000008</v>
      </c>
      <c r="N28" s="433">
        <f>N25+N26-N27</f>
        <v>130815.15119999993</v>
      </c>
      <c r="O28" s="433">
        <f>O25+O26-O27</f>
        <v>155301.30529999992</v>
      </c>
    </row>
    <row r="29" spans="1:16" ht="13.5" customHeight="1">
      <c r="A29" s="149"/>
      <c r="B29" s="384" t="s">
        <v>815</v>
      </c>
      <c r="C29" s="385"/>
      <c r="D29" s="385">
        <v>42.731699999999996</v>
      </c>
      <c r="E29" s="385">
        <v>42.731699999999996</v>
      </c>
      <c r="F29" s="385">
        <v>42.731699999999996</v>
      </c>
      <c r="G29" s="385">
        <v>42.731699999999996</v>
      </c>
      <c r="H29" s="385"/>
      <c r="J29" s="383" t="s">
        <v>43</v>
      </c>
      <c r="K29" s="385"/>
      <c r="L29" s="385">
        <v>32238.036599999999</v>
      </c>
      <c r="M29" s="385">
        <v>19125.074000000001</v>
      </c>
      <c r="N29" s="385">
        <v>13015.1384</v>
      </c>
      <c r="O29" s="385">
        <v>10475.3559</v>
      </c>
    </row>
    <row r="30" spans="1:16" ht="13.5" customHeight="1">
      <c r="A30" s="149"/>
      <c r="B30" s="384" t="s">
        <v>997</v>
      </c>
      <c r="C30" s="385"/>
      <c r="D30" s="385">
        <v>119886.3575</v>
      </c>
      <c r="E30" s="385">
        <v>162401.9809</v>
      </c>
      <c r="F30" s="385">
        <v>189596.91880000001</v>
      </c>
      <c r="G30" s="385">
        <v>245209.13089999999</v>
      </c>
      <c r="H30" s="385"/>
      <c r="J30" s="390" t="s">
        <v>44</v>
      </c>
      <c r="K30" s="436">
        <f>K28-K29</f>
        <v>0</v>
      </c>
      <c r="L30" s="436">
        <f>L28-L29</f>
        <v>162626.87250000006</v>
      </c>
      <c r="M30" s="436">
        <f>M28-M29</f>
        <v>129049.08690000008</v>
      </c>
      <c r="N30" s="436">
        <f>N28-N29</f>
        <v>117800.01279999994</v>
      </c>
      <c r="O30" s="436">
        <f>O28-O29</f>
        <v>144825.94939999992</v>
      </c>
      <c r="P30" s="52"/>
    </row>
    <row r="31" spans="1:16" ht="13.5" customHeight="1">
      <c r="A31" s="149"/>
      <c r="B31" s="384" t="s">
        <v>998</v>
      </c>
      <c r="C31" s="385"/>
      <c r="D31" s="385">
        <v>160496.74669999999</v>
      </c>
      <c r="E31" s="385">
        <v>174364.1765</v>
      </c>
      <c r="F31" s="385">
        <v>146484.45360000001</v>
      </c>
      <c r="G31" s="385">
        <v>262669.26990000001</v>
      </c>
      <c r="H31" s="385"/>
      <c r="J31" s="443" t="s">
        <v>1219</v>
      </c>
      <c r="K31" s="444"/>
      <c r="L31" s="444">
        <v>1548867369</v>
      </c>
      <c r="M31" s="444">
        <v>1171095206</v>
      </c>
      <c r="N31" s="444">
        <v>1094428037</v>
      </c>
      <c r="O31" s="444">
        <v>1341479527</v>
      </c>
    </row>
    <row r="32" spans="1:16" ht="13.5" customHeight="1">
      <c r="A32" s="149"/>
      <c r="B32" s="389" t="s">
        <v>12</v>
      </c>
      <c r="C32" s="432">
        <f>SUM(C6:C31)</f>
        <v>0</v>
      </c>
      <c r="D32" s="432">
        <f>SUM(D6:D31)</f>
        <v>26728787.236199997</v>
      </c>
      <c r="E32" s="432">
        <f>SUM(E6:E31)</f>
        <v>31227345.705200002</v>
      </c>
      <c r="F32" s="432">
        <f>SUM(F6:F31)</f>
        <v>37698351.321799994</v>
      </c>
      <c r="G32" s="432">
        <f>SUM(G6:G31)</f>
        <v>44255790.244600013</v>
      </c>
      <c r="H32" s="385"/>
      <c r="J32" s="443" t="s">
        <v>1220</v>
      </c>
      <c r="K32" s="444"/>
      <c r="L32" s="444">
        <v>77401356</v>
      </c>
      <c r="M32" s="444">
        <v>119395663</v>
      </c>
      <c r="N32" s="444">
        <v>83572091</v>
      </c>
      <c r="O32" s="444">
        <v>106779967</v>
      </c>
    </row>
    <row r="33" spans="1:16" ht="13.5" customHeight="1">
      <c r="A33" s="149"/>
      <c r="B33" s="384" t="s">
        <v>999</v>
      </c>
      <c r="C33" s="433"/>
      <c r="D33" s="433"/>
      <c r="E33" s="433"/>
      <c r="F33" s="433"/>
      <c r="G33" s="433"/>
      <c r="J33" s="149"/>
      <c r="K33" s="29"/>
      <c r="L33" s="29"/>
      <c r="M33" s="29"/>
      <c r="N33" s="29"/>
      <c r="O33" s="29"/>
    </row>
    <row r="34" spans="1:16" ht="13.5" customHeight="1">
      <c r="A34" s="149"/>
      <c r="B34" s="384" t="s">
        <v>1000</v>
      </c>
      <c r="C34" s="385"/>
      <c r="D34" s="385">
        <v>814076.98389999999</v>
      </c>
      <c r="E34" s="385">
        <v>815974.76280000003</v>
      </c>
      <c r="F34" s="385">
        <v>1523975.0001000001</v>
      </c>
      <c r="G34" s="385">
        <v>2887967.3097000001</v>
      </c>
      <c r="H34" s="385"/>
      <c r="J34" s="439"/>
      <c r="K34" s="440" t="str">
        <f>K4</f>
        <v>2017年</v>
      </c>
      <c r="L34" s="440" t="str">
        <f>L4</f>
        <v>2018年</v>
      </c>
      <c r="M34" s="440" t="str">
        <f>M4</f>
        <v>2019年</v>
      </c>
      <c r="N34" s="440" t="str">
        <f>N4</f>
        <v>2020年</v>
      </c>
      <c r="O34" s="440" t="str">
        <f>O4</f>
        <v>2021年</v>
      </c>
      <c r="P34" s="441" t="s">
        <v>756</v>
      </c>
    </row>
    <row r="35" spans="1:16" ht="13.5" customHeight="1">
      <c r="A35" s="149"/>
      <c r="B35" s="384" t="s">
        <v>1001</v>
      </c>
      <c r="C35" s="385"/>
      <c r="D35" s="385">
        <v>721126.90009999997</v>
      </c>
      <c r="E35" s="385">
        <v>449279.01169999997</v>
      </c>
      <c r="F35" s="385">
        <v>741446.30779999995</v>
      </c>
      <c r="G35" s="385">
        <v>978742.8186</v>
      </c>
      <c r="H35" s="385"/>
      <c r="J35" s="437" t="s">
        <v>1202</v>
      </c>
      <c r="K35" s="440"/>
      <c r="L35" s="440"/>
      <c r="M35" s="440">
        <v>6.66</v>
      </c>
      <c r="N35" s="440">
        <v>5.54</v>
      </c>
      <c r="O35" s="440">
        <v>6.46</v>
      </c>
      <c r="P35" s="440">
        <f>AVERAGE(M35:O35)</f>
        <v>6.22</v>
      </c>
    </row>
    <row r="36" spans="1:16" ht="13.5" customHeight="1">
      <c r="A36" s="149"/>
      <c r="B36" s="384" t="s">
        <v>1003</v>
      </c>
      <c r="C36" s="385"/>
      <c r="D36" s="385">
        <v>221754.00140000001</v>
      </c>
      <c r="E36" s="385">
        <v>341406.97600000002</v>
      </c>
      <c r="F36" s="385">
        <v>303399.52870000002</v>
      </c>
      <c r="G36" s="385">
        <v>375057.92509999999</v>
      </c>
      <c r="H36" s="391"/>
      <c r="J36" s="437" t="s">
        <v>1203</v>
      </c>
      <c r="K36" s="442"/>
      <c r="L36" s="442"/>
      <c r="M36" s="440">
        <v>0.45</v>
      </c>
      <c r="N36" s="440">
        <v>0.34</v>
      </c>
      <c r="O36" s="440">
        <v>0.35</v>
      </c>
      <c r="P36" s="440">
        <f t="shared" ref="P36:P40" si="0">AVERAGE(M36:O36)</f>
        <v>0.38000000000000006</v>
      </c>
    </row>
    <row r="37" spans="1:16" ht="13.5" customHeight="1">
      <c r="A37" s="149"/>
      <c r="B37" s="384" t="s">
        <v>1201</v>
      </c>
      <c r="C37" s="385"/>
      <c r="D37" s="385">
        <v>0</v>
      </c>
      <c r="E37" s="385">
        <v>0</v>
      </c>
      <c r="F37" s="385">
        <v>0</v>
      </c>
      <c r="G37" s="385">
        <v>0</v>
      </c>
      <c r="H37" s="385"/>
      <c r="J37" s="437" t="s">
        <v>1204</v>
      </c>
      <c r="K37" s="440"/>
      <c r="L37" s="440"/>
      <c r="M37" s="440">
        <f>M21/M5*100</f>
        <v>34.923330379543927</v>
      </c>
      <c r="N37" s="440">
        <f>N21/N5*100</f>
        <v>35.713850011224849</v>
      </c>
      <c r="O37" s="440">
        <f>O21/O5*100</f>
        <v>35.69822592504164</v>
      </c>
      <c r="P37" s="440">
        <f t="shared" si="0"/>
        <v>35.445135438603472</v>
      </c>
    </row>
    <row r="38" spans="1:16" ht="13.5" customHeight="1">
      <c r="A38" s="149"/>
      <c r="B38" s="384" t="s">
        <v>1004</v>
      </c>
      <c r="C38" s="385"/>
      <c r="D38" s="385">
        <v>36000</v>
      </c>
      <c r="E38" s="385">
        <v>135000</v>
      </c>
      <c r="F38" s="385">
        <v>50000</v>
      </c>
      <c r="G38" s="385">
        <v>0</v>
      </c>
      <c r="H38" s="385"/>
      <c r="J38" s="437" t="s">
        <v>1205</v>
      </c>
      <c r="K38" s="439"/>
      <c r="L38" s="439"/>
      <c r="M38" s="440">
        <f>(M28/L28-1)*100</f>
        <v>-23.960572693998682</v>
      </c>
      <c r="N38" s="440">
        <f>(N28/M28-1)*100</f>
        <v>-11.715274508431605</v>
      </c>
      <c r="O38" s="440">
        <f>(O28/N28-1)*100</f>
        <v>18.718133087323906</v>
      </c>
      <c r="P38" s="440">
        <f t="shared" si="0"/>
        <v>-5.6525713717021278</v>
      </c>
    </row>
    <row r="39" spans="1:16" ht="13.5" customHeight="1">
      <c r="A39" s="149"/>
      <c r="B39" s="384" t="s">
        <v>1005</v>
      </c>
      <c r="C39" s="385"/>
      <c r="D39" s="385">
        <v>18586812.026999999</v>
      </c>
      <c r="E39" s="385">
        <v>21950962.031599998</v>
      </c>
      <c r="F39" s="385">
        <v>26553655.308899999</v>
      </c>
      <c r="G39" s="385">
        <v>30270904.328299999</v>
      </c>
      <c r="H39" s="385"/>
      <c r="J39" s="437" t="s">
        <v>1206</v>
      </c>
      <c r="K39" s="439"/>
      <c r="L39" s="439"/>
      <c r="M39" s="440">
        <v>1.75</v>
      </c>
      <c r="N39" s="440">
        <v>1.68</v>
      </c>
      <c r="O39" s="440">
        <v>1.69</v>
      </c>
      <c r="P39" s="440">
        <f t="shared" si="0"/>
        <v>1.7066666666666663</v>
      </c>
    </row>
    <row r="40" spans="1:16" ht="13.5" customHeight="1">
      <c r="A40" s="149"/>
      <c r="B40" s="384" t="s">
        <v>1006</v>
      </c>
      <c r="C40" s="385"/>
      <c r="D40" s="385">
        <v>16457.241999999998</v>
      </c>
      <c r="E40" s="385">
        <v>26198.194299999999</v>
      </c>
      <c r="F40" s="385">
        <v>42833.715300000003</v>
      </c>
      <c r="G40" s="385">
        <v>30922.879700000001</v>
      </c>
      <c r="H40" s="385"/>
      <c r="J40" s="437" t="s">
        <v>1208</v>
      </c>
      <c r="K40" s="441"/>
      <c r="L40" s="441"/>
      <c r="M40" s="440">
        <v>154.93</v>
      </c>
      <c r="N40" s="440">
        <v>140.66999999999999</v>
      </c>
      <c r="O40" s="440">
        <v>144.26</v>
      </c>
      <c r="P40" s="440">
        <f t="shared" si="0"/>
        <v>146.62</v>
      </c>
    </row>
    <row r="41" spans="1:16" ht="13.5" customHeight="1">
      <c r="A41" s="149"/>
      <c r="B41" s="384" t="s">
        <v>1007</v>
      </c>
      <c r="C41" s="385"/>
      <c r="D41" s="385">
        <v>33760.320800000001</v>
      </c>
      <c r="E41" s="385">
        <v>33782.7474</v>
      </c>
      <c r="F41" s="385">
        <v>23861.180400000001</v>
      </c>
      <c r="G41" s="385">
        <v>48165.1967</v>
      </c>
      <c r="H41" s="385"/>
      <c r="J41" s="445" t="s">
        <v>1227</v>
      </c>
      <c r="K41" s="441"/>
      <c r="L41" s="441"/>
      <c r="M41" s="440">
        <v>63.96</v>
      </c>
      <c r="N41" s="440">
        <v>85.76</v>
      </c>
      <c r="O41" s="440">
        <v>85.03</v>
      </c>
      <c r="P41" s="440">
        <f t="shared" ref="P41" si="1">AVERAGE(M41:O41)</f>
        <v>78.25</v>
      </c>
    </row>
    <row r="42" spans="1:16" ht="13.5" customHeight="1">
      <c r="A42" s="149"/>
      <c r="B42" s="384" t="s">
        <v>1008</v>
      </c>
      <c r="C42" s="385"/>
      <c r="D42" s="385">
        <v>0</v>
      </c>
      <c r="E42" s="385">
        <v>0</v>
      </c>
      <c r="F42" s="385">
        <v>0</v>
      </c>
      <c r="G42" s="385">
        <v>0</v>
      </c>
      <c r="H42" s="385"/>
      <c r="J42" s="437" t="s">
        <v>945</v>
      </c>
      <c r="K42" s="441"/>
      <c r="L42" s="441"/>
      <c r="M42" s="440">
        <v>11.84</v>
      </c>
      <c r="N42" s="440">
        <v>11.67</v>
      </c>
      <c r="O42" s="440">
        <v>11.75</v>
      </c>
      <c r="P42" s="440">
        <f>AVERAGE(M42:O42)</f>
        <v>11.753333333333332</v>
      </c>
    </row>
    <row r="43" spans="1:16" ht="13.5" customHeight="1">
      <c r="A43" s="149"/>
      <c r="B43" s="384" t="s">
        <v>1221</v>
      </c>
      <c r="C43" s="385"/>
      <c r="D43" s="385">
        <v>149824.40160000001</v>
      </c>
      <c r="E43" s="385">
        <v>177729.03409999999</v>
      </c>
      <c r="F43" s="385">
        <v>226978.0508</v>
      </c>
      <c r="G43" s="385">
        <v>0</v>
      </c>
      <c r="H43" s="385"/>
      <c r="J43" s="446" t="s">
        <v>1228</v>
      </c>
      <c r="K43" s="441"/>
      <c r="L43" s="441"/>
      <c r="M43" s="440">
        <v>8.67</v>
      </c>
      <c r="N43" s="440">
        <v>9.0500000000000007</v>
      </c>
      <c r="O43" s="440">
        <v>8.91</v>
      </c>
      <c r="P43" s="440">
        <f>AVERAGE(M43:O43)</f>
        <v>8.8766666666666669</v>
      </c>
    </row>
    <row r="44" spans="1:16" ht="13.5" customHeight="1">
      <c r="A44" s="149"/>
      <c r="B44" s="384" t="s">
        <v>1207</v>
      </c>
      <c r="C44" s="385"/>
      <c r="D44" s="385">
        <v>0</v>
      </c>
      <c r="E44" s="385">
        <v>0</v>
      </c>
      <c r="F44" s="385">
        <v>0</v>
      </c>
      <c r="G44" s="385">
        <v>0</v>
      </c>
      <c r="H44" s="385"/>
      <c r="J44" s="437" t="s">
        <v>946</v>
      </c>
      <c r="K44" s="441"/>
      <c r="L44" s="441"/>
      <c r="M44" s="440">
        <v>8.65</v>
      </c>
      <c r="N44" s="440">
        <v>7.74</v>
      </c>
      <c r="O44" s="440">
        <v>7.65</v>
      </c>
      <c r="P44" s="440">
        <f>AVERAGE(M44:O44)</f>
        <v>8.0133333333333336</v>
      </c>
    </row>
    <row r="45" spans="1:16" ht="13.5" customHeight="1">
      <c r="A45" s="149"/>
      <c r="B45" s="384" t="s">
        <v>1209</v>
      </c>
      <c r="C45" s="385"/>
      <c r="D45" s="385">
        <v>0</v>
      </c>
      <c r="E45" s="385">
        <v>0</v>
      </c>
      <c r="F45" s="385">
        <v>0</v>
      </c>
      <c r="G45" s="385">
        <v>11627.922200000001</v>
      </c>
      <c r="H45" s="385"/>
    </row>
    <row r="46" spans="1:16" ht="13.5" customHeight="1">
      <c r="A46" s="149"/>
      <c r="B46" s="384" t="s">
        <v>1210</v>
      </c>
      <c r="C46" s="385"/>
      <c r="D46" s="385">
        <v>0</v>
      </c>
      <c r="E46" s="385">
        <v>0</v>
      </c>
      <c r="F46" s="385">
        <v>0</v>
      </c>
      <c r="G46" s="385">
        <v>60887.346899999997</v>
      </c>
      <c r="H46" s="385"/>
    </row>
    <row r="47" spans="1:16" ht="13.5" customHeight="1">
      <c r="A47" s="149"/>
      <c r="B47" s="384" t="s">
        <v>1222</v>
      </c>
      <c r="C47" s="385"/>
      <c r="D47" s="385">
        <v>4162620.2851</v>
      </c>
      <c r="E47" s="385">
        <v>4982102.4346000003</v>
      </c>
      <c r="F47" s="385">
        <v>5580829.1946</v>
      </c>
      <c r="G47" s="385">
        <v>6892088.0318</v>
      </c>
      <c r="H47" s="385"/>
    </row>
    <row r="48" spans="1:16" ht="13.5" customHeight="1">
      <c r="A48" s="149"/>
      <c r="B48" s="384" t="s">
        <v>1211</v>
      </c>
      <c r="C48" s="385"/>
      <c r="D48" s="385">
        <v>0</v>
      </c>
      <c r="E48" s="385">
        <v>0</v>
      </c>
      <c r="F48" s="385">
        <v>0</v>
      </c>
      <c r="G48" s="385">
        <v>0</v>
      </c>
      <c r="H48" s="385"/>
    </row>
    <row r="49" spans="1:8" ht="13.5" customHeight="1">
      <c r="A49" s="149"/>
      <c r="B49" s="384" t="s">
        <v>1009</v>
      </c>
      <c r="C49" s="385"/>
      <c r="D49" s="385">
        <v>184909.48</v>
      </c>
      <c r="E49" s="385">
        <v>241731.4669</v>
      </c>
      <c r="F49" s="385">
        <v>150109.6004</v>
      </c>
      <c r="G49" s="385">
        <v>78298.931899999996</v>
      </c>
      <c r="H49" s="433"/>
    </row>
    <row r="50" spans="1:8" ht="13.5" customHeight="1">
      <c r="A50" s="149"/>
      <c r="B50" s="389" t="s">
        <v>17</v>
      </c>
      <c r="C50" s="432">
        <f>SUM(C34:C49)</f>
        <v>0</v>
      </c>
      <c r="D50" s="432">
        <f>SUM(D34:D49)</f>
        <v>24927341.641899999</v>
      </c>
      <c r="E50" s="432">
        <f>SUM(E34:E49)</f>
        <v>29154166.659399997</v>
      </c>
      <c r="F50" s="432">
        <f>SUM(F34:F49)</f>
        <v>35197087.886999995</v>
      </c>
      <c r="G50" s="432">
        <f>SUM(G34:G49)</f>
        <v>41634662.690900005</v>
      </c>
      <c r="H50" s="432"/>
    </row>
    <row r="51" spans="1:8" ht="13.5" customHeight="1">
      <c r="A51" s="149"/>
      <c r="B51" s="384" t="s">
        <v>1010</v>
      </c>
      <c r="C51" s="433"/>
      <c r="D51" s="433"/>
      <c r="E51" s="433"/>
      <c r="F51" s="433"/>
      <c r="G51" s="433"/>
      <c r="H51" s="385"/>
    </row>
    <row r="52" spans="1:8" ht="13.5" customHeight="1">
      <c r="A52" s="149"/>
      <c r="B52" s="384" t="s">
        <v>1011</v>
      </c>
      <c r="C52" s="385"/>
      <c r="D52" s="385">
        <v>451800</v>
      </c>
      <c r="E52" s="385">
        <v>500000</v>
      </c>
      <c r="F52" s="385">
        <v>500000</v>
      </c>
      <c r="G52" s="385">
        <v>500000</v>
      </c>
      <c r="H52" s="385"/>
    </row>
    <row r="53" spans="1:8" ht="13.5" customHeight="1">
      <c r="A53" s="149"/>
      <c r="B53" s="384" t="s">
        <v>1223</v>
      </c>
      <c r="C53" s="385"/>
      <c r="D53" s="385">
        <v>0</v>
      </c>
      <c r="E53" s="385">
        <v>0</v>
      </c>
      <c r="F53" s="385">
        <v>319903.77360000001</v>
      </c>
      <c r="G53" s="385">
        <v>319903.77360000001</v>
      </c>
      <c r="H53" s="385"/>
    </row>
    <row r="54" spans="1:8" ht="13.5" customHeight="1">
      <c r="A54" s="149"/>
      <c r="B54" s="384" t="s">
        <v>1012</v>
      </c>
      <c r="C54" s="385"/>
      <c r="D54" s="385">
        <v>718978.24250000005</v>
      </c>
      <c r="E54" s="385">
        <v>865988.24239999999</v>
      </c>
      <c r="F54" s="385">
        <v>865988.24239999999</v>
      </c>
      <c r="G54" s="385">
        <v>865988.24239999999</v>
      </c>
      <c r="H54" s="385"/>
    </row>
    <row r="55" spans="1:8" ht="13.5" customHeight="1">
      <c r="A55" s="149"/>
      <c r="B55" s="384" t="s">
        <v>1013</v>
      </c>
      <c r="C55" s="385"/>
      <c r="D55" s="385">
        <v>0</v>
      </c>
      <c r="E55" s="385">
        <v>0</v>
      </c>
      <c r="F55" s="385">
        <v>0</v>
      </c>
      <c r="G55" s="385">
        <v>0</v>
      </c>
      <c r="H55" s="385"/>
    </row>
    <row r="56" spans="1:8" ht="23.25" customHeight="1">
      <c r="A56" s="149"/>
      <c r="B56" s="384" t="s">
        <v>1014</v>
      </c>
      <c r="C56" s="385"/>
      <c r="D56" s="385">
        <v>9296.1756999999998</v>
      </c>
      <c r="E56" s="385">
        <v>8548.7579999999998</v>
      </c>
      <c r="F56" s="385">
        <v>7067.2546000000002</v>
      </c>
      <c r="G56" s="385">
        <v>20120.013800000001</v>
      </c>
      <c r="H56" s="385"/>
    </row>
    <row r="57" spans="1:8">
      <c r="B57" s="384" t="s">
        <v>1015</v>
      </c>
      <c r="C57" s="385"/>
      <c r="D57" s="385">
        <v>96272.911800000002</v>
      </c>
      <c r="E57" s="385">
        <v>107102.8385</v>
      </c>
      <c r="F57" s="385">
        <v>117199.2418</v>
      </c>
      <c r="G57" s="385">
        <v>129089.41800000001</v>
      </c>
      <c r="H57" s="385"/>
    </row>
    <row r="58" spans="1:8">
      <c r="B58" s="384" t="s">
        <v>1016</v>
      </c>
      <c r="C58" s="385"/>
      <c r="D58" s="385">
        <v>375033.44020000001</v>
      </c>
      <c r="E58" s="385">
        <v>429468.9964</v>
      </c>
      <c r="F58" s="385">
        <v>522579.16739999998</v>
      </c>
      <c r="G58" s="385">
        <v>596139.67559999996</v>
      </c>
      <c r="H58" s="385"/>
    </row>
    <row r="59" spans="1:8">
      <c r="B59" s="384" t="s">
        <v>1017</v>
      </c>
      <c r="C59" s="385"/>
      <c r="D59" s="385">
        <v>75053.906600000002</v>
      </c>
      <c r="E59" s="385">
        <v>72681.944300000003</v>
      </c>
      <c r="F59" s="385">
        <v>68918.173699999999</v>
      </c>
      <c r="G59" s="385">
        <v>78021.477100000004</v>
      </c>
      <c r="H59" s="385"/>
    </row>
    <row r="60" spans="1:8" ht="28">
      <c r="B60" s="430" t="s">
        <v>1188</v>
      </c>
      <c r="C60" s="432">
        <f>SUM(C52+C54++C56+C57+C58+C59)</f>
        <v>0</v>
      </c>
      <c r="D60" s="432">
        <f>SUM(D52+D54++D56+D57+D58+D59+D53)</f>
        <v>1726434.6768000002</v>
      </c>
      <c r="E60" s="432">
        <f>SUM(E52+E54++E56+E57+E58+E59+E53)</f>
        <v>1983790.7796</v>
      </c>
      <c r="F60" s="432">
        <f>SUM(F52+F54++F56+F57+F58+F59+F53)</f>
        <v>2401655.8534999997</v>
      </c>
      <c r="G60" s="432">
        <f>SUM(G52+G54++G56+G57+G58+G59+G53)</f>
        <v>2509262.6004999997</v>
      </c>
      <c r="H60" s="385"/>
    </row>
    <row r="61" spans="1:8">
      <c r="B61" s="389" t="s">
        <v>1224</v>
      </c>
      <c r="C61" s="385"/>
      <c r="D61" s="385">
        <v>75010.917499999996</v>
      </c>
      <c r="E61" s="385">
        <v>89388.266199999998</v>
      </c>
      <c r="F61" s="385">
        <v>99607.581300000005</v>
      </c>
      <c r="G61" s="385">
        <v>111864.9532</v>
      </c>
      <c r="H61" s="385"/>
    </row>
    <row r="62" spans="1:8">
      <c r="B62" s="389" t="s">
        <v>1018</v>
      </c>
      <c r="C62" s="434"/>
      <c r="D62" s="434">
        <f>D60+D61</f>
        <v>1801445.5943000002</v>
      </c>
      <c r="E62" s="434">
        <f t="shared" ref="E62:G62" si="2">E60+E61</f>
        <v>2073179.0458</v>
      </c>
      <c r="F62" s="434">
        <f t="shared" si="2"/>
        <v>2501263.4347999999</v>
      </c>
      <c r="G62" s="434">
        <f t="shared" si="2"/>
        <v>2621127.5536999996</v>
      </c>
      <c r="H62" s="385"/>
    </row>
    <row r="63" spans="1:8">
      <c r="B63" s="392" t="s">
        <v>198</v>
      </c>
      <c r="C63" s="434">
        <f>C50+C60</f>
        <v>0</v>
      </c>
      <c r="D63" s="434">
        <f>D50+D62</f>
        <v>26728787.236200001</v>
      </c>
      <c r="E63" s="434">
        <f t="shared" ref="E63:G63" si="3">E50+E62</f>
        <v>31227345.705199998</v>
      </c>
      <c r="F63" s="434">
        <f t="shared" si="3"/>
        <v>37698351.321799994</v>
      </c>
      <c r="G63" s="434">
        <f t="shared" si="3"/>
        <v>44255790.244600005</v>
      </c>
      <c r="H63" s="432"/>
    </row>
    <row r="64" spans="1:8">
      <c r="B64" s="149"/>
      <c r="C64" s="438" t="s">
        <v>1002</v>
      </c>
      <c r="D64" s="438" t="s">
        <v>1002</v>
      </c>
      <c r="E64" s="438" t="s">
        <v>1002</v>
      </c>
      <c r="F64" s="438" t="s">
        <v>1002</v>
      </c>
      <c r="G64" s="438" t="s">
        <v>1002</v>
      </c>
      <c r="H64" s="438"/>
    </row>
    <row r="65" spans="2:8">
      <c r="B65" s="393" t="s">
        <v>1019</v>
      </c>
      <c r="C65" s="394">
        <f>C32-C63</f>
        <v>0</v>
      </c>
      <c r="D65" s="394">
        <f>D32-D63</f>
        <v>0</v>
      </c>
      <c r="E65" s="394">
        <f>E32-E63</f>
        <v>0</v>
      </c>
      <c r="F65" s="394">
        <f>F32-F63</f>
        <v>0</v>
      </c>
      <c r="G65" s="394">
        <f>G32-G63</f>
        <v>0</v>
      </c>
      <c r="H65" s="395"/>
    </row>
  </sheetData>
  <phoneticPr fontId="2" type="noConversion"/>
  <hyperlinks>
    <hyperlink ref="R11" r:id="rId1" display="https://baike.baidu.com/item/%E5%87%80%E5%88%A9%E6%B6%A6" xr:uid="{63727099-9A72-42C1-99AC-5C90741B91FA}"/>
  </hyperlinks>
  <printOptions horizontalCentered="1"/>
  <pageMargins left="0.70866141732283472" right="0.70866141732283472" top="0.74803149606299213" bottom="0.74803149606299213" header="0.31496062992125984" footer="0.31496062992125984"/>
  <pageSetup paperSize="9" scale="44" fitToHeight="0" orientation="portrait"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57"/>
  <sheetViews>
    <sheetView topLeftCell="A11" zoomScaleNormal="100" workbookViewId="0">
      <selection activeCell="H42" sqref="H42"/>
    </sheetView>
  </sheetViews>
  <sheetFormatPr defaultRowHeight="14"/>
  <cols>
    <col min="1" max="1" width="46.36328125" style="57" bestFit="1" customWidth="1"/>
    <col min="2" max="2" width="15.08984375" style="57" hidden="1" customWidth="1"/>
    <col min="3" max="7" width="15" style="245" bestFit="1" customWidth="1"/>
    <col min="8" max="8" width="21.90625" style="54" bestFit="1" customWidth="1"/>
    <col min="9" max="9" width="12.7265625" style="54" bestFit="1" customWidth="1"/>
    <col min="10" max="10" width="13.90625" style="54" bestFit="1" customWidth="1"/>
    <col min="11" max="11" width="12.26953125" style="54" bestFit="1" customWidth="1"/>
    <col min="12" max="12" width="10.26953125" style="54" bestFit="1" customWidth="1"/>
    <col min="13" max="13" width="10.26953125" style="54" customWidth="1"/>
    <col min="14" max="14" width="13.453125" style="54" bestFit="1" customWidth="1"/>
    <col min="15" max="15" width="9.6328125" style="54" bestFit="1" customWidth="1"/>
    <col min="16" max="257" width="9" style="54"/>
    <col min="258" max="258" width="46.36328125" style="54" bestFit="1" customWidth="1"/>
    <col min="259" max="262" width="15.08984375" style="54" bestFit="1" customWidth="1"/>
    <col min="263" max="263" width="15" style="54" bestFit="1" customWidth="1"/>
    <col min="264" max="513" width="9" style="54"/>
    <col min="514" max="514" width="46.36328125" style="54" bestFit="1" customWidth="1"/>
    <col min="515" max="518" width="15.08984375" style="54" bestFit="1" customWidth="1"/>
    <col min="519" max="519" width="15" style="54" bestFit="1" customWidth="1"/>
    <col min="520" max="769" width="9" style="54"/>
    <col min="770" max="770" width="46.36328125" style="54" bestFit="1" customWidth="1"/>
    <col min="771" max="774" width="15.08984375" style="54" bestFit="1" customWidth="1"/>
    <col min="775" max="775" width="15" style="54" bestFit="1" customWidth="1"/>
    <col min="776" max="1025" width="9" style="54"/>
    <col min="1026" max="1026" width="46.36328125" style="54" bestFit="1" customWidth="1"/>
    <col min="1027" max="1030" width="15.08984375" style="54" bestFit="1" customWidth="1"/>
    <col min="1031" max="1031" width="15" style="54" bestFit="1" customWidth="1"/>
    <col min="1032" max="1281" width="9" style="54"/>
    <col min="1282" max="1282" width="46.36328125" style="54" bestFit="1" customWidth="1"/>
    <col min="1283" max="1286" width="15.08984375" style="54" bestFit="1" customWidth="1"/>
    <col min="1287" max="1287" width="15" style="54" bestFit="1" customWidth="1"/>
    <col min="1288" max="1537" width="9" style="54"/>
    <col min="1538" max="1538" width="46.36328125" style="54" bestFit="1" customWidth="1"/>
    <col min="1539" max="1542" width="15.08984375" style="54" bestFit="1" customWidth="1"/>
    <col min="1543" max="1543" width="15" style="54" bestFit="1" customWidth="1"/>
    <col min="1544" max="1793" width="9" style="54"/>
    <col min="1794" max="1794" width="46.36328125" style="54" bestFit="1" customWidth="1"/>
    <col min="1795" max="1798" width="15.08984375" style="54" bestFit="1" customWidth="1"/>
    <col min="1799" max="1799" width="15" style="54" bestFit="1" customWidth="1"/>
    <col min="1800" max="2049" width="9" style="54"/>
    <col min="2050" max="2050" width="46.36328125" style="54" bestFit="1" customWidth="1"/>
    <col min="2051" max="2054" width="15.08984375" style="54" bestFit="1" customWidth="1"/>
    <col min="2055" max="2055" width="15" style="54" bestFit="1" customWidth="1"/>
    <col min="2056" max="2305" width="9" style="54"/>
    <col min="2306" max="2306" width="46.36328125" style="54" bestFit="1" customWidth="1"/>
    <col min="2307" max="2310" width="15.08984375" style="54" bestFit="1" customWidth="1"/>
    <col min="2311" max="2311" width="15" style="54" bestFit="1" customWidth="1"/>
    <col min="2312" max="2561" width="9" style="54"/>
    <col min="2562" max="2562" width="46.36328125" style="54" bestFit="1" customWidth="1"/>
    <col min="2563" max="2566" width="15.08984375" style="54" bestFit="1" customWidth="1"/>
    <col min="2567" max="2567" width="15" style="54" bestFit="1" customWidth="1"/>
    <col min="2568" max="2817" width="9" style="54"/>
    <col min="2818" max="2818" width="46.36328125" style="54" bestFit="1" customWidth="1"/>
    <col min="2819" max="2822" width="15.08984375" style="54" bestFit="1" customWidth="1"/>
    <col min="2823" max="2823" width="15" style="54" bestFit="1" customWidth="1"/>
    <col min="2824" max="3073" width="9" style="54"/>
    <col min="3074" max="3074" width="46.36328125" style="54" bestFit="1" customWidth="1"/>
    <col min="3075" max="3078" width="15.08984375" style="54" bestFit="1" customWidth="1"/>
    <col min="3079" max="3079" width="15" style="54" bestFit="1" customWidth="1"/>
    <col min="3080" max="3329" width="9" style="54"/>
    <col min="3330" max="3330" width="46.36328125" style="54" bestFit="1" customWidth="1"/>
    <col min="3331" max="3334" width="15.08984375" style="54" bestFit="1" customWidth="1"/>
    <col min="3335" max="3335" width="15" style="54" bestFit="1" customWidth="1"/>
    <col min="3336" max="3585" width="9" style="54"/>
    <col min="3586" max="3586" width="46.36328125" style="54" bestFit="1" customWidth="1"/>
    <col min="3587" max="3590" width="15.08984375" style="54" bestFit="1" customWidth="1"/>
    <col min="3591" max="3591" width="15" style="54" bestFit="1" customWidth="1"/>
    <col min="3592" max="3841" width="9" style="54"/>
    <col min="3842" max="3842" width="46.36328125" style="54" bestFit="1" customWidth="1"/>
    <col min="3843" max="3846" width="15.08984375" style="54" bestFit="1" customWidth="1"/>
    <col min="3847" max="3847" width="15" style="54" bestFit="1" customWidth="1"/>
    <col min="3848" max="4097" width="9" style="54"/>
    <col min="4098" max="4098" width="46.36328125" style="54" bestFit="1" customWidth="1"/>
    <col min="4099" max="4102" width="15.08984375" style="54" bestFit="1" customWidth="1"/>
    <col min="4103" max="4103" width="15" style="54" bestFit="1" customWidth="1"/>
    <col min="4104" max="4353" width="9" style="54"/>
    <col min="4354" max="4354" width="46.36328125" style="54" bestFit="1" customWidth="1"/>
    <col min="4355" max="4358" width="15.08984375" style="54" bestFit="1" customWidth="1"/>
    <col min="4359" max="4359" width="15" style="54" bestFit="1" customWidth="1"/>
    <col min="4360" max="4609" width="9" style="54"/>
    <col min="4610" max="4610" width="46.36328125" style="54" bestFit="1" customWidth="1"/>
    <col min="4611" max="4614" width="15.08984375" style="54" bestFit="1" customWidth="1"/>
    <col min="4615" max="4615" width="15" style="54" bestFit="1" customWidth="1"/>
    <col min="4616" max="4865" width="9" style="54"/>
    <col min="4866" max="4866" width="46.36328125" style="54" bestFit="1" customWidth="1"/>
    <col min="4867" max="4870" width="15.08984375" style="54" bestFit="1" customWidth="1"/>
    <col min="4871" max="4871" width="15" style="54" bestFit="1" customWidth="1"/>
    <col min="4872" max="5121" width="9" style="54"/>
    <col min="5122" max="5122" width="46.36328125" style="54" bestFit="1" customWidth="1"/>
    <col min="5123" max="5126" width="15.08984375" style="54" bestFit="1" customWidth="1"/>
    <col min="5127" max="5127" width="15" style="54" bestFit="1" customWidth="1"/>
    <col min="5128" max="5377" width="9" style="54"/>
    <col min="5378" max="5378" width="46.36328125" style="54" bestFit="1" customWidth="1"/>
    <col min="5379" max="5382" width="15.08984375" style="54" bestFit="1" customWidth="1"/>
    <col min="5383" max="5383" width="15" style="54" bestFit="1" customWidth="1"/>
    <col min="5384" max="5633" width="9" style="54"/>
    <col min="5634" max="5634" width="46.36328125" style="54" bestFit="1" customWidth="1"/>
    <col min="5635" max="5638" width="15.08984375" style="54" bestFit="1" customWidth="1"/>
    <col min="5639" max="5639" width="15" style="54" bestFit="1" customWidth="1"/>
    <col min="5640" max="5889" width="9" style="54"/>
    <col min="5890" max="5890" width="46.36328125" style="54" bestFit="1" customWidth="1"/>
    <col min="5891" max="5894" width="15.08984375" style="54" bestFit="1" customWidth="1"/>
    <col min="5895" max="5895" width="15" style="54" bestFit="1" customWidth="1"/>
    <col min="5896" max="6145" width="9" style="54"/>
    <col min="6146" max="6146" width="46.36328125" style="54" bestFit="1" customWidth="1"/>
    <col min="6147" max="6150" width="15.08984375" style="54" bestFit="1" customWidth="1"/>
    <col min="6151" max="6151" width="15" style="54" bestFit="1" customWidth="1"/>
    <col min="6152" max="6401" width="9" style="54"/>
    <col min="6402" max="6402" width="46.36328125" style="54" bestFit="1" customWidth="1"/>
    <col min="6403" max="6406" width="15.08984375" style="54" bestFit="1" customWidth="1"/>
    <col min="6407" max="6407" width="15" style="54" bestFit="1" customWidth="1"/>
    <col min="6408" max="6657" width="9" style="54"/>
    <col min="6658" max="6658" width="46.36328125" style="54" bestFit="1" customWidth="1"/>
    <col min="6659" max="6662" width="15.08984375" style="54" bestFit="1" customWidth="1"/>
    <col min="6663" max="6663" width="15" style="54" bestFit="1" customWidth="1"/>
    <col min="6664" max="6913" width="9" style="54"/>
    <col min="6914" max="6914" width="46.36328125" style="54" bestFit="1" customWidth="1"/>
    <col min="6915" max="6918" width="15.08984375" style="54" bestFit="1" customWidth="1"/>
    <col min="6919" max="6919" width="15" style="54" bestFit="1" customWidth="1"/>
    <col min="6920" max="7169" width="9" style="54"/>
    <col min="7170" max="7170" width="46.36328125" style="54" bestFit="1" customWidth="1"/>
    <col min="7171" max="7174" width="15.08984375" style="54" bestFit="1" customWidth="1"/>
    <col min="7175" max="7175" width="15" style="54" bestFit="1" customWidth="1"/>
    <col min="7176" max="7425" width="9" style="54"/>
    <col min="7426" max="7426" width="46.36328125" style="54" bestFit="1" customWidth="1"/>
    <col min="7427" max="7430" width="15.08984375" style="54" bestFit="1" customWidth="1"/>
    <col min="7431" max="7431" width="15" style="54" bestFit="1" customWidth="1"/>
    <col min="7432" max="7681" width="9" style="54"/>
    <col min="7682" max="7682" width="46.36328125" style="54" bestFit="1" customWidth="1"/>
    <col min="7683" max="7686" width="15.08984375" style="54" bestFit="1" customWidth="1"/>
    <col min="7687" max="7687" width="15" style="54" bestFit="1" customWidth="1"/>
    <col min="7688" max="7937" width="9" style="54"/>
    <col min="7938" max="7938" width="46.36328125" style="54" bestFit="1" customWidth="1"/>
    <col min="7939" max="7942" width="15.08984375" style="54" bestFit="1" customWidth="1"/>
    <col min="7943" max="7943" width="15" style="54" bestFit="1" customWidth="1"/>
    <col min="7944" max="8193" width="9" style="54"/>
    <col min="8194" max="8194" width="46.36328125" style="54" bestFit="1" customWidth="1"/>
    <col min="8195" max="8198" width="15.08984375" style="54" bestFit="1" customWidth="1"/>
    <col min="8199" max="8199" width="15" style="54" bestFit="1" customWidth="1"/>
    <col min="8200" max="8449" width="9" style="54"/>
    <col min="8450" max="8450" width="46.36328125" style="54" bestFit="1" customWidth="1"/>
    <col min="8451" max="8454" width="15.08984375" style="54" bestFit="1" customWidth="1"/>
    <col min="8455" max="8455" width="15" style="54" bestFit="1" customWidth="1"/>
    <col min="8456" max="8705" width="9" style="54"/>
    <col min="8706" max="8706" width="46.36328125" style="54" bestFit="1" customWidth="1"/>
    <col min="8707" max="8710" width="15.08984375" style="54" bestFit="1" customWidth="1"/>
    <col min="8711" max="8711" width="15" style="54" bestFit="1" customWidth="1"/>
    <col min="8712" max="8961" width="9" style="54"/>
    <col min="8962" max="8962" width="46.36328125" style="54" bestFit="1" customWidth="1"/>
    <col min="8963" max="8966" width="15.08984375" style="54" bestFit="1" customWidth="1"/>
    <col min="8967" max="8967" width="15" style="54" bestFit="1" customWidth="1"/>
    <col min="8968" max="9217" width="9" style="54"/>
    <col min="9218" max="9218" width="46.36328125" style="54" bestFit="1" customWidth="1"/>
    <col min="9219" max="9222" width="15.08984375" style="54" bestFit="1" customWidth="1"/>
    <col min="9223" max="9223" width="15" style="54" bestFit="1" customWidth="1"/>
    <col min="9224" max="9473" width="9" style="54"/>
    <col min="9474" max="9474" width="46.36328125" style="54" bestFit="1" customWidth="1"/>
    <col min="9475" max="9478" width="15.08984375" style="54" bestFit="1" customWidth="1"/>
    <col min="9479" max="9479" width="15" style="54" bestFit="1" customWidth="1"/>
    <col min="9480" max="9729" width="9" style="54"/>
    <col min="9730" max="9730" width="46.36328125" style="54" bestFit="1" customWidth="1"/>
    <col min="9731" max="9734" width="15.08984375" style="54" bestFit="1" customWidth="1"/>
    <col min="9735" max="9735" width="15" style="54" bestFit="1" customWidth="1"/>
    <col min="9736" max="9985" width="9" style="54"/>
    <col min="9986" max="9986" width="46.36328125" style="54" bestFit="1" customWidth="1"/>
    <col min="9987" max="9990" width="15.08984375" style="54" bestFit="1" customWidth="1"/>
    <col min="9991" max="9991" width="15" style="54" bestFit="1" customWidth="1"/>
    <col min="9992" max="10241" width="9" style="54"/>
    <col min="10242" max="10242" width="46.36328125" style="54" bestFit="1" customWidth="1"/>
    <col min="10243" max="10246" width="15.08984375" style="54" bestFit="1" customWidth="1"/>
    <col min="10247" max="10247" width="15" style="54" bestFit="1" customWidth="1"/>
    <col min="10248" max="10497" width="9" style="54"/>
    <col min="10498" max="10498" width="46.36328125" style="54" bestFit="1" customWidth="1"/>
    <col min="10499" max="10502" width="15.08984375" style="54" bestFit="1" customWidth="1"/>
    <col min="10503" max="10503" width="15" style="54" bestFit="1" customWidth="1"/>
    <col min="10504" max="10753" width="9" style="54"/>
    <col min="10754" max="10754" width="46.36328125" style="54" bestFit="1" customWidth="1"/>
    <col min="10755" max="10758" width="15.08984375" style="54" bestFit="1" customWidth="1"/>
    <col min="10759" max="10759" width="15" style="54" bestFit="1" customWidth="1"/>
    <col min="10760" max="11009" width="9" style="54"/>
    <col min="11010" max="11010" width="46.36328125" style="54" bestFit="1" customWidth="1"/>
    <col min="11011" max="11014" width="15.08984375" style="54" bestFit="1" customWidth="1"/>
    <col min="11015" max="11015" width="15" style="54" bestFit="1" customWidth="1"/>
    <col min="11016" max="11265" width="9" style="54"/>
    <col min="11266" max="11266" width="46.36328125" style="54" bestFit="1" customWidth="1"/>
    <col min="11267" max="11270" width="15.08984375" style="54" bestFit="1" customWidth="1"/>
    <col min="11271" max="11271" width="15" style="54" bestFit="1" customWidth="1"/>
    <col min="11272" max="11521" width="9" style="54"/>
    <col min="11522" max="11522" width="46.36328125" style="54" bestFit="1" customWidth="1"/>
    <col min="11523" max="11526" width="15.08984375" style="54" bestFit="1" customWidth="1"/>
    <col min="11527" max="11527" width="15" style="54" bestFit="1" customWidth="1"/>
    <col min="11528" max="11777" width="9" style="54"/>
    <col min="11778" max="11778" width="46.36328125" style="54" bestFit="1" customWidth="1"/>
    <col min="11779" max="11782" width="15.08984375" style="54" bestFit="1" customWidth="1"/>
    <col min="11783" max="11783" width="15" style="54" bestFit="1" customWidth="1"/>
    <col min="11784" max="12033" width="9" style="54"/>
    <col min="12034" max="12034" width="46.36328125" style="54" bestFit="1" customWidth="1"/>
    <col min="12035" max="12038" width="15.08984375" style="54" bestFit="1" customWidth="1"/>
    <col min="12039" max="12039" width="15" style="54" bestFit="1" customWidth="1"/>
    <col min="12040" max="12289" width="9" style="54"/>
    <col min="12290" max="12290" width="46.36328125" style="54" bestFit="1" customWidth="1"/>
    <col min="12291" max="12294" width="15.08984375" style="54" bestFit="1" customWidth="1"/>
    <col min="12295" max="12295" width="15" style="54" bestFit="1" customWidth="1"/>
    <col min="12296" max="12545" width="9" style="54"/>
    <col min="12546" max="12546" width="46.36328125" style="54" bestFit="1" customWidth="1"/>
    <col min="12547" max="12550" width="15.08984375" style="54" bestFit="1" customWidth="1"/>
    <col min="12551" max="12551" width="15" style="54" bestFit="1" customWidth="1"/>
    <col min="12552" max="12801" width="9" style="54"/>
    <col min="12802" max="12802" width="46.36328125" style="54" bestFit="1" customWidth="1"/>
    <col min="12803" max="12806" width="15.08984375" style="54" bestFit="1" customWidth="1"/>
    <col min="12807" max="12807" width="15" style="54" bestFit="1" customWidth="1"/>
    <col min="12808" max="13057" width="9" style="54"/>
    <col min="13058" max="13058" width="46.36328125" style="54" bestFit="1" customWidth="1"/>
    <col min="13059" max="13062" width="15.08984375" style="54" bestFit="1" customWidth="1"/>
    <col min="13063" max="13063" width="15" style="54" bestFit="1" customWidth="1"/>
    <col min="13064" max="13313" width="9" style="54"/>
    <col min="13314" max="13314" width="46.36328125" style="54" bestFit="1" customWidth="1"/>
    <col min="13315" max="13318" width="15.08984375" style="54" bestFit="1" customWidth="1"/>
    <col min="13319" max="13319" width="15" style="54" bestFit="1" customWidth="1"/>
    <col min="13320" max="13569" width="9" style="54"/>
    <col min="13570" max="13570" width="46.36328125" style="54" bestFit="1" customWidth="1"/>
    <col min="13571" max="13574" width="15.08984375" style="54" bestFit="1" customWidth="1"/>
    <col min="13575" max="13575" width="15" style="54" bestFit="1" customWidth="1"/>
    <col min="13576" max="13825" width="9" style="54"/>
    <col min="13826" max="13826" width="46.36328125" style="54" bestFit="1" customWidth="1"/>
    <col min="13827" max="13830" width="15.08984375" style="54" bestFit="1" customWidth="1"/>
    <col min="13831" max="13831" width="15" style="54" bestFit="1" customWidth="1"/>
    <col min="13832" max="14081" width="9" style="54"/>
    <col min="14082" max="14082" width="46.36328125" style="54" bestFit="1" customWidth="1"/>
    <col min="14083" max="14086" width="15.08984375" style="54" bestFit="1" customWidth="1"/>
    <col min="14087" max="14087" width="15" style="54" bestFit="1" customWidth="1"/>
    <col min="14088" max="14337" width="9" style="54"/>
    <col min="14338" max="14338" width="46.36328125" style="54" bestFit="1" customWidth="1"/>
    <col min="14339" max="14342" width="15.08984375" style="54" bestFit="1" customWidth="1"/>
    <col min="14343" max="14343" width="15" style="54" bestFit="1" customWidth="1"/>
    <col min="14344" max="14593" width="9" style="54"/>
    <col min="14594" max="14594" width="46.36328125" style="54" bestFit="1" customWidth="1"/>
    <col min="14595" max="14598" width="15.08984375" style="54" bestFit="1" customWidth="1"/>
    <col min="14599" max="14599" width="15" style="54" bestFit="1" customWidth="1"/>
    <col min="14600" max="14849" width="9" style="54"/>
    <col min="14850" max="14850" width="46.36328125" style="54" bestFit="1" customWidth="1"/>
    <col min="14851" max="14854" width="15.08984375" style="54" bestFit="1" customWidth="1"/>
    <col min="14855" max="14855" width="15" style="54" bestFit="1" customWidth="1"/>
    <col min="14856" max="15105" width="9" style="54"/>
    <col min="15106" max="15106" width="46.36328125" style="54" bestFit="1" customWidth="1"/>
    <col min="15107" max="15110" width="15.08984375" style="54" bestFit="1" customWidth="1"/>
    <col min="15111" max="15111" width="15" style="54" bestFit="1" customWidth="1"/>
    <col min="15112" max="15361" width="9" style="54"/>
    <col min="15362" max="15362" width="46.36328125" style="54" bestFit="1" customWidth="1"/>
    <col min="15363" max="15366" width="15.08984375" style="54" bestFit="1" customWidth="1"/>
    <col min="15367" max="15367" width="15" style="54" bestFit="1" customWidth="1"/>
    <col min="15368" max="15617" width="9" style="54"/>
    <col min="15618" max="15618" width="46.36328125" style="54" bestFit="1" customWidth="1"/>
    <col min="15619" max="15622" width="15.08984375" style="54" bestFit="1" customWidth="1"/>
    <col min="15623" max="15623" width="15" style="54" bestFit="1" customWidth="1"/>
    <col min="15624" max="15873" width="9" style="54"/>
    <col min="15874" max="15874" width="46.36328125" style="54" bestFit="1" customWidth="1"/>
    <col min="15875" max="15878" width="15.08984375" style="54" bestFit="1" customWidth="1"/>
    <col min="15879" max="15879" width="15" style="54" bestFit="1" customWidth="1"/>
    <col min="15880" max="16129" width="9" style="54"/>
    <col min="16130" max="16130" width="46.36328125" style="54" bestFit="1" customWidth="1"/>
    <col min="16131" max="16134" width="15.08984375" style="54" bestFit="1" customWidth="1"/>
    <col min="16135" max="16135" width="15" style="54" bestFit="1" customWidth="1"/>
    <col min="16136" max="16384" width="9" style="54"/>
  </cols>
  <sheetData>
    <row r="1" spans="1:15">
      <c r="A1" s="57" t="s">
        <v>200</v>
      </c>
      <c r="B1" s="58" t="s">
        <v>415</v>
      </c>
      <c r="C1" s="243" t="e">
        <f>#REF!</f>
        <v>#REF!</v>
      </c>
      <c r="D1" s="243" t="e">
        <f>#REF!</f>
        <v>#REF!</v>
      </c>
      <c r="E1" s="243" t="e">
        <f>#REF!</f>
        <v>#REF!</v>
      </c>
      <c r="F1" s="243" t="e">
        <f>#REF!</f>
        <v>#REF!</v>
      </c>
      <c r="G1" s="243"/>
      <c r="H1" s="63"/>
      <c r="I1" s="63"/>
      <c r="J1" s="63" t="e">
        <f>C1</f>
        <v>#REF!</v>
      </c>
      <c r="K1" s="63" t="e">
        <f>D1</f>
        <v>#REF!</v>
      </c>
      <c r="L1" s="63" t="e">
        <f>E1</f>
        <v>#REF!</v>
      </c>
      <c r="M1" s="63" t="e">
        <f>F1</f>
        <v>#REF!</v>
      </c>
      <c r="N1" s="63" t="s">
        <v>420</v>
      </c>
      <c r="O1" s="62" t="s">
        <v>253</v>
      </c>
    </row>
    <row r="2" spans="1:15">
      <c r="A2" s="57" t="s">
        <v>92</v>
      </c>
      <c r="B2" s="58" t="s">
        <v>93</v>
      </c>
      <c r="C2" s="243" t="s">
        <v>269</v>
      </c>
      <c r="D2" s="243" t="s">
        <v>269</v>
      </c>
      <c r="E2" s="243" t="s">
        <v>269</v>
      </c>
      <c r="F2" s="243" t="s">
        <v>269</v>
      </c>
      <c r="G2" s="243"/>
      <c r="H2" s="63" t="s">
        <v>255</v>
      </c>
      <c r="I2" s="64"/>
      <c r="J2" s="64"/>
      <c r="K2" s="64" t="e">
        <f>D26/D4</f>
        <v>#DIV/0!</v>
      </c>
      <c r="L2" s="64" t="e">
        <f>E26/E4</f>
        <v>#DIV/0!</v>
      </c>
      <c r="M2" s="64" t="e">
        <f>F26/F4</f>
        <v>#DIV/0!</v>
      </c>
      <c r="N2" s="64"/>
      <c r="O2" s="64" t="e">
        <f>AVERAGE(K2:M2,N2)</f>
        <v>#DIV/0!</v>
      </c>
    </row>
    <row r="3" spans="1:15">
      <c r="A3" s="57" t="s">
        <v>57</v>
      </c>
      <c r="B3" s="58" t="s">
        <v>95</v>
      </c>
      <c r="C3" s="243" t="s">
        <v>95</v>
      </c>
      <c r="D3" s="243" t="s">
        <v>95</v>
      </c>
      <c r="E3" s="243" t="s">
        <v>95</v>
      </c>
      <c r="F3" s="243" t="s">
        <v>95</v>
      </c>
      <c r="G3" s="243"/>
      <c r="H3" s="55" t="s">
        <v>247</v>
      </c>
      <c r="I3" s="38"/>
      <c r="J3" s="38"/>
      <c r="K3" s="38" t="e">
        <f>(D32+D13)/D15</f>
        <v>#DIV/0!</v>
      </c>
      <c r="L3" s="38" t="e">
        <f>(E32+E13)/E15</f>
        <v>#DIV/0!</v>
      </c>
      <c r="M3" s="38" t="e">
        <f>(F32+F13)/F15</f>
        <v>#DIV/0!</v>
      </c>
      <c r="N3" s="38"/>
      <c r="O3" s="233" t="e">
        <f>AVERAGE(K3:M3,N3)</f>
        <v>#DIV/0!</v>
      </c>
    </row>
    <row r="4" spans="1:15">
      <c r="A4" s="60" t="s">
        <v>201</v>
      </c>
      <c r="B4" s="61"/>
      <c r="C4" s="127"/>
      <c r="D4" s="127"/>
      <c r="E4" s="127"/>
      <c r="F4" s="127"/>
      <c r="H4" s="63"/>
      <c r="I4" s="62"/>
      <c r="J4" s="62"/>
      <c r="K4" s="62"/>
      <c r="L4" s="62"/>
      <c r="M4" s="62"/>
      <c r="N4" s="62"/>
      <c r="O4" s="62"/>
    </row>
    <row r="5" spans="1:15">
      <c r="A5" s="57" t="s">
        <v>202</v>
      </c>
      <c r="B5" s="61"/>
      <c r="C5" s="127"/>
      <c r="D5" s="127"/>
      <c r="E5" s="127"/>
      <c r="F5" s="127"/>
      <c r="H5" s="59"/>
      <c r="I5" s="57"/>
      <c r="J5" s="57"/>
      <c r="K5" s="57"/>
      <c r="L5" s="57"/>
      <c r="M5" s="57"/>
      <c r="N5" s="57"/>
    </row>
    <row r="6" spans="1:15">
      <c r="A6" s="57" t="s">
        <v>203</v>
      </c>
      <c r="B6" s="61"/>
      <c r="H6" s="55" t="s">
        <v>249</v>
      </c>
      <c r="I6" s="62"/>
      <c r="J6" s="64"/>
      <c r="K6" s="64" t="e">
        <f>D4/C4-1</f>
        <v>#DIV/0!</v>
      </c>
      <c r="L6" s="64" t="e">
        <f>E4/D4-1</f>
        <v>#DIV/0!</v>
      </c>
      <c r="M6" s="64" t="e">
        <f>F4/E4-1</f>
        <v>#DIV/0!</v>
      </c>
      <c r="N6" s="64"/>
      <c r="O6" s="64" t="e">
        <f>AVERAGE(K6:M6,N6)</f>
        <v>#DIV/0!</v>
      </c>
    </row>
    <row r="7" spans="1:15">
      <c r="A7" s="60" t="s">
        <v>204</v>
      </c>
      <c r="B7" s="61"/>
      <c r="C7" s="127"/>
      <c r="D7" s="127"/>
      <c r="E7" s="127"/>
      <c r="F7" s="127"/>
      <c r="H7" s="55" t="s">
        <v>250</v>
      </c>
      <c r="I7" s="62"/>
      <c r="J7" s="62"/>
      <c r="K7" s="62"/>
      <c r="L7" s="62"/>
      <c r="M7" s="62"/>
      <c r="N7" s="62"/>
      <c r="O7" s="62"/>
    </row>
    <row r="8" spans="1:15">
      <c r="A8" s="57" t="s">
        <v>205</v>
      </c>
      <c r="B8" s="61"/>
      <c r="C8" s="127"/>
      <c r="D8" s="127"/>
      <c r="E8" s="127"/>
      <c r="F8" s="127"/>
      <c r="H8" s="56" t="s">
        <v>281</v>
      </c>
      <c r="I8" s="62"/>
      <c r="J8" s="64"/>
      <c r="K8" s="64"/>
      <c r="L8" s="64"/>
      <c r="M8" s="64" t="e">
        <f>(F26-E26)/ABS(E26)</f>
        <v>#DIV/0!</v>
      </c>
      <c r="N8" s="64"/>
      <c r="O8" s="64" t="e">
        <f>M8</f>
        <v>#DIV/0!</v>
      </c>
    </row>
    <row r="9" spans="1:15">
      <c r="A9" s="57" t="s">
        <v>206</v>
      </c>
      <c r="B9" s="61"/>
      <c r="C9" s="127"/>
      <c r="D9" s="127"/>
      <c r="E9" s="127"/>
      <c r="F9" s="127"/>
      <c r="H9"/>
      <c r="I9"/>
      <c r="J9"/>
      <c r="K9"/>
      <c r="L9"/>
    </row>
    <row r="10" spans="1:15">
      <c r="A10" s="57" t="s">
        <v>207</v>
      </c>
      <c r="B10" s="61"/>
      <c r="C10" s="127"/>
      <c r="D10" s="127"/>
      <c r="E10" s="127"/>
      <c r="F10" s="127"/>
      <c r="H10"/>
      <c r="I10"/>
      <c r="J10"/>
      <c r="K10"/>
      <c r="L10"/>
    </row>
    <row r="11" spans="1:15">
      <c r="A11" s="57" t="s">
        <v>208</v>
      </c>
      <c r="B11" s="61"/>
      <c r="C11" s="127"/>
      <c r="D11" s="127"/>
      <c r="E11" s="127"/>
      <c r="F11" s="127"/>
      <c r="H11"/>
      <c r="I11"/>
      <c r="J11"/>
      <c r="K11"/>
      <c r="L11"/>
    </row>
    <row r="12" spans="1:15">
      <c r="A12" s="57" t="s">
        <v>414</v>
      </c>
      <c r="B12" s="61"/>
      <c r="C12" s="127"/>
      <c r="D12" s="127"/>
      <c r="E12" s="127"/>
      <c r="F12" s="127"/>
      <c r="H12"/>
      <c r="I12"/>
      <c r="J12"/>
      <c r="K12"/>
      <c r="L12"/>
    </row>
    <row r="13" spans="1:15">
      <c r="A13" s="57" t="s">
        <v>209</v>
      </c>
      <c r="B13" s="61"/>
      <c r="C13" s="127"/>
      <c r="D13" s="127"/>
      <c r="E13" s="127"/>
      <c r="F13" s="127"/>
      <c r="H13"/>
      <c r="I13"/>
      <c r="J13"/>
      <c r="K13"/>
      <c r="L13"/>
    </row>
    <row r="14" spans="1:15">
      <c r="A14" s="57" t="s">
        <v>210</v>
      </c>
      <c r="B14" s="61"/>
      <c r="C14" s="127"/>
      <c r="D14" s="127"/>
      <c r="E14" s="127"/>
      <c r="F14" s="127"/>
      <c r="H14"/>
      <c r="I14"/>
      <c r="J14"/>
      <c r="K14"/>
      <c r="L14"/>
    </row>
    <row r="15" spans="1:15">
      <c r="A15" s="225" t="s">
        <v>413</v>
      </c>
      <c r="B15" s="61"/>
      <c r="C15" s="127"/>
      <c r="D15" s="127"/>
      <c r="E15" s="127"/>
      <c r="F15" s="127"/>
      <c r="G15" s="317"/>
      <c r="H15"/>
      <c r="I15"/>
      <c r="J15"/>
      <c r="K15"/>
      <c r="L15"/>
    </row>
    <row r="16" spans="1:15">
      <c r="A16" s="60" t="s">
        <v>211</v>
      </c>
      <c r="B16" s="61"/>
      <c r="C16" s="317"/>
      <c r="D16" s="317"/>
      <c r="E16" s="317"/>
      <c r="F16" s="317"/>
      <c r="G16" s="317"/>
      <c r="H16"/>
      <c r="I16"/>
      <c r="J16"/>
      <c r="K16"/>
      <c r="L16"/>
    </row>
    <row r="17" spans="1:12">
      <c r="A17" s="57" t="s">
        <v>217</v>
      </c>
      <c r="B17" s="61"/>
      <c r="C17" s="127"/>
      <c r="D17" s="127"/>
      <c r="E17" s="127"/>
      <c r="F17" s="127"/>
    </row>
    <row r="18" spans="1:12">
      <c r="A18" s="57" t="s">
        <v>213</v>
      </c>
      <c r="B18" s="61"/>
      <c r="C18" s="127"/>
      <c r="D18" s="127"/>
      <c r="E18" s="127"/>
      <c r="F18" s="127"/>
      <c r="G18" s="317"/>
    </row>
    <row r="19" spans="1:12">
      <c r="A19" s="57" t="s">
        <v>212</v>
      </c>
      <c r="B19" s="61"/>
      <c r="C19" s="317"/>
      <c r="D19" s="317"/>
      <c r="E19" s="317"/>
      <c r="F19" s="317"/>
      <c r="G19" s="317"/>
      <c r="H19"/>
      <c r="I19"/>
      <c r="J19"/>
      <c r="K19"/>
      <c r="L19"/>
    </row>
    <row r="20" spans="1:12">
      <c r="A20" s="57" t="s">
        <v>215</v>
      </c>
      <c r="B20" s="61"/>
    </row>
    <row r="21" spans="1:12">
      <c r="A21" s="57" t="s">
        <v>834</v>
      </c>
      <c r="B21" s="61"/>
    </row>
    <row r="22" spans="1:12">
      <c r="A22" s="57" t="s">
        <v>835</v>
      </c>
      <c r="B22" s="61"/>
    </row>
    <row r="23" spans="1:12">
      <c r="A23" s="57" t="s">
        <v>833</v>
      </c>
      <c r="B23" s="61"/>
    </row>
    <row r="24" spans="1:12">
      <c r="A24" s="57" t="s">
        <v>944</v>
      </c>
    </row>
    <row r="25" spans="1:12">
      <c r="A25" s="57" t="s">
        <v>219</v>
      </c>
      <c r="B25" s="61"/>
    </row>
    <row r="26" spans="1:12">
      <c r="A26" s="60" t="s">
        <v>220</v>
      </c>
      <c r="B26" s="61"/>
      <c r="C26" s="245">
        <f>C4-SUM(C8:C14)+SUM(C17:C25)</f>
        <v>0</v>
      </c>
      <c r="D26" s="245">
        <f>D4-SUM(D8:D14)+SUM(D17:D25)</f>
        <v>0</v>
      </c>
      <c r="E26" s="317">
        <f>E4-SUM(E8:E14)+SUM(E17:E25)</f>
        <v>0</v>
      </c>
      <c r="F26" s="317">
        <f>F4-SUM(F8:F14)+SUM(F17:F25)</f>
        <v>0</v>
      </c>
      <c r="H26" s="231"/>
      <c r="I26" s="231"/>
    </row>
    <row r="27" spans="1:12">
      <c r="A27" s="57" t="s">
        <v>221</v>
      </c>
      <c r="B27" s="61"/>
      <c r="C27" s="127"/>
      <c r="D27" s="127"/>
      <c r="E27" s="127"/>
      <c r="F27" s="127"/>
    </row>
    <row r="28" spans="1:12">
      <c r="A28" s="57" t="s">
        <v>222</v>
      </c>
      <c r="B28" s="61"/>
      <c r="C28" s="127"/>
      <c r="D28" s="127"/>
      <c r="E28" s="127"/>
      <c r="F28" s="127"/>
    </row>
    <row r="29" spans="1:12">
      <c r="A29" s="57" t="s">
        <v>223</v>
      </c>
      <c r="B29" s="61"/>
    </row>
    <row r="30" spans="1:12">
      <c r="A30" s="57" t="s">
        <v>224</v>
      </c>
      <c r="B30" s="61"/>
    </row>
    <row r="31" spans="1:12">
      <c r="A31" s="57" t="s">
        <v>225</v>
      </c>
      <c r="B31" s="61"/>
    </row>
    <row r="32" spans="1:12">
      <c r="A32" s="60" t="s">
        <v>226</v>
      </c>
      <c r="B32" s="61"/>
      <c r="C32" s="245">
        <f>C26+C27-C28</f>
        <v>0</v>
      </c>
      <c r="D32" s="245">
        <f>D26+D27-D28</f>
        <v>0</v>
      </c>
      <c r="E32" s="245">
        <f>E26+E27-E28</f>
        <v>0</v>
      </c>
      <c r="F32" s="245">
        <f>F26+F27-F28</f>
        <v>0</v>
      </c>
    </row>
    <row r="33" spans="1:10">
      <c r="A33" s="57" t="s">
        <v>227</v>
      </c>
      <c r="B33" s="61"/>
      <c r="C33" s="127"/>
      <c r="D33" s="127"/>
      <c r="E33" s="127"/>
      <c r="F33" s="127"/>
    </row>
    <row r="34" spans="1:10">
      <c r="A34" s="57" t="s">
        <v>229</v>
      </c>
      <c r="B34" s="61"/>
    </row>
    <row r="35" spans="1:10">
      <c r="A35" s="57" t="s">
        <v>230</v>
      </c>
      <c r="B35" s="61"/>
    </row>
    <row r="36" spans="1:10">
      <c r="A36" s="60" t="s">
        <v>231</v>
      </c>
      <c r="B36" s="61"/>
      <c r="C36" s="245">
        <f>C32-C33</f>
        <v>0</v>
      </c>
      <c r="D36" s="245">
        <f>D32-D33</f>
        <v>0</v>
      </c>
      <c r="E36" s="245">
        <f>E32-E33</f>
        <v>0</v>
      </c>
      <c r="F36" s="245">
        <f>F32-F33</f>
        <v>0</v>
      </c>
      <c r="H36" s="232"/>
    </row>
    <row r="37" spans="1:10">
      <c r="A37" s="341" t="s">
        <v>882</v>
      </c>
      <c r="B37" s="61"/>
      <c r="E37" s="340"/>
      <c r="F37" s="340"/>
    </row>
    <row r="38" spans="1:10">
      <c r="A38" s="341" t="s">
        <v>881</v>
      </c>
      <c r="B38" s="61"/>
      <c r="E38" s="340"/>
      <c r="F38" s="340"/>
    </row>
    <row r="39" spans="1:10">
      <c r="A39" s="57" t="s">
        <v>232</v>
      </c>
      <c r="B39" s="61"/>
    </row>
    <row r="40" spans="1:10">
      <c r="A40" s="57" t="s">
        <v>233</v>
      </c>
      <c r="B40" s="61"/>
    </row>
    <row r="41" spans="1:10">
      <c r="A41" s="57" t="s">
        <v>234</v>
      </c>
      <c r="B41" s="61"/>
      <c r="C41" s="127"/>
      <c r="D41" s="127"/>
      <c r="E41" s="127"/>
      <c r="F41" s="127"/>
    </row>
    <row r="42" spans="1:10">
      <c r="A42" s="57" t="s">
        <v>235</v>
      </c>
      <c r="B42" s="61"/>
      <c r="C42" s="127"/>
      <c r="D42" s="127"/>
      <c r="E42" s="127"/>
      <c r="F42" s="127"/>
      <c r="H42" s="232"/>
    </row>
    <row r="43" spans="1:10">
      <c r="A43" s="57" t="s">
        <v>236</v>
      </c>
      <c r="B43" s="61"/>
      <c r="C43" s="127"/>
      <c r="D43" s="127"/>
      <c r="E43" s="127"/>
      <c r="F43" s="127"/>
    </row>
    <row r="44" spans="1:10">
      <c r="A44" s="60" t="s">
        <v>237</v>
      </c>
      <c r="B44" s="61"/>
    </row>
    <row r="45" spans="1:10">
      <c r="A45" s="57" t="s">
        <v>238</v>
      </c>
      <c r="B45" s="61"/>
      <c r="J45" s="231"/>
    </row>
    <row r="46" spans="1:10">
      <c r="A46" s="57" t="s">
        <v>239</v>
      </c>
      <c r="B46" s="61"/>
      <c r="J46" s="231"/>
    </row>
    <row r="47" spans="1:10">
      <c r="A47" s="60" t="s">
        <v>240</v>
      </c>
      <c r="B47" s="58"/>
      <c r="C47" s="243"/>
      <c r="D47" s="243"/>
      <c r="E47" s="243"/>
      <c r="F47" s="243"/>
      <c r="G47" s="243"/>
      <c r="J47" s="232"/>
    </row>
    <row r="48" spans="1:10">
      <c r="B48" s="69"/>
    </row>
    <row r="49" spans="1:7">
      <c r="B49" s="69"/>
    </row>
    <row r="50" spans="1:7">
      <c r="A50" s="59" t="s">
        <v>381</v>
      </c>
      <c r="B50" s="58"/>
      <c r="C50" s="243"/>
      <c r="D50" s="243"/>
      <c r="E50" s="243"/>
      <c r="F50" s="243">
        <f>F32+F15</f>
        <v>0</v>
      </c>
      <c r="G50" s="243"/>
    </row>
    <row r="51" spans="1:7">
      <c r="A51" s="59" t="s">
        <v>382</v>
      </c>
      <c r="B51" s="58"/>
      <c r="C51" s="243"/>
      <c r="D51" s="243"/>
      <c r="E51" s="243"/>
      <c r="F51" s="243"/>
      <c r="G51" s="243"/>
    </row>
    <row r="52" spans="1:7">
      <c r="A52" s="59" t="s">
        <v>383</v>
      </c>
      <c r="B52" s="58"/>
      <c r="C52" s="243"/>
      <c r="D52" s="243"/>
      <c r="E52" s="243"/>
      <c r="F52" s="243"/>
      <c r="G52" s="243"/>
    </row>
    <row r="53" spans="1:7">
      <c r="B53" s="58"/>
      <c r="C53" s="243"/>
      <c r="D53" s="243"/>
      <c r="E53" s="243"/>
      <c r="F53" s="243"/>
      <c r="G53" s="243"/>
    </row>
    <row r="54" spans="1:7">
      <c r="B54" s="58"/>
      <c r="C54" s="243"/>
      <c r="D54" s="243"/>
      <c r="E54" s="243"/>
      <c r="F54" s="243"/>
      <c r="G54" s="243"/>
    </row>
    <row r="55" spans="1:7">
      <c r="B55" s="58"/>
      <c r="C55" s="243"/>
      <c r="D55" s="243"/>
      <c r="E55" s="243"/>
      <c r="F55" s="243"/>
      <c r="G55" s="243"/>
    </row>
    <row r="56" spans="1:7">
      <c r="B56" s="58"/>
      <c r="C56" s="243"/>
      <c r="D56" s="243"/>
      <c r="E56" s="243"/>
      <c r="F56" s="243"/>
      <c r="G56" s="243"/>
    </row>
    <row r="57" spans="1:7">
      <c r="B57" s="58"/>
      <c r="C57" s="243"/>
      <c r="D57" s="243"/>
      <c r="E57" s="243"/>
      <c r="F57" s="243"/>
      <c r="G57" s="243"/>
    </row>
  </sheetData>
  <phoneticPr fontId="2" type="noConversion"/>
  <printOptions horizontalCentered="1"/>
  <pageMargins left="0.70866141732283472" right="0.70866141732283472" top="0.74803149606299213" bottom="0.74803149606299213" header="0.31496062992125984" footer="0.31496062992125984"/>
  <pageSetup paperSize="9" scale="5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0"/>
  <sheetViews>
    <sheetView workbookViewId="0">
      <selection activeCell="F15" sqref="F15"/>
    </sheetView>
  </sheetViews>
  <sheetFormatPr defaultColWidth="9" defaultRowHeight="15"/>
  <cols>
    <col min="1" max="1" width="20.453125" style="1" bestFit="1" customWidth="1"/>
    <col min="2" max="3" width="18.36328125" style="1" bestFit="1" customWidth="1"/>
    <col min="4" max="16384" width="9" style="1"/>
  </cols>
  <sheetData>
    <row r="1" spans="1:3">
      <c r="A1" s="509" t="s">
        <v>25</v>
      </c>
      <c r="B1" s="509"/>
      <c r="C1" s="509"/>
    </row>
    <row r="2" spans="1:3">
      <c r="A2" s="2"/>
      <c r="B2" s="2">
        <v>2013</v>
      </c>
      <c r="C2" s="2">
        <v>2012</v>
      </c>
    </row>
    <row r="3" spans="1:3">
      <c r="A3" s="2" t="s">
        <v>1</v>
      </c>
      <c r="B3" s="5">
        <v>71732804.109999999</v>
      </c>
      <c r="C3" s="5">
        <v>3287328448.9400001</v>
      </c>
    </row>
    <row r="4" spans="1:3">
      <c r="A4" s="2" t="s">
        <v>2</v>
      </c>
      <c r="B4" s="5">
        <v>27257179.210000001</v>
      </c>
      <c r="C4" s="5">
        <v>60130577.119999997</v>
      </c>
    </row>
    <row r="5" spans="1:3">
      <c r="A5" s="2" t="s">
        <v>3</v>
      </c>
      <c r="B5" s="5">
        <v>589300000</v>
      </c>
      <c r="C5" s="2" t="s">
        <v>26</v>
      </c>
    </row>
    <row r="6" spans="1:3">
      <c r="A6" s="2" t="s">
        <v>4</v>
      </c>
      <c r="B6" s="5">
        <v>14548730.41</v>
      </c>
      <c r="C6" s="5">
        <v>2304353.2000000002</v>
      </c>
    </row>
    <row r="7" spans="1:3">
      <c r="A7" s="2" t="s">
        <v>27</v>
      </c>
      <c r="B7" s="5">
        <v>4110800000</v>
      </c>
      <c r="C7" s="5">
        <v>3970800000</v>
      </c>
    </row>
    <row r="8" spans="1:3">
      <c r="A8" s="2" t="s">
        <v>5</v>
      </c>
      <c r="B8" s="5">
        <v>36581400</v>
      </c>
      <c r="C8" s="2" t="s">
        <v>26</v>
      </c>
    </row>
    <row r="9" spans="1:3">
      <c r="A9" s="2" t="s">
        <v>6</v>
      </c>
      <c r="B9" s="5">
        <v>697940937.23000002</v>
      </c>
      <c r="C9" s="5">
        <v>178760000</v>
      </c>
    </row>
    <row r="10" spans="1:3">
      <c r="A10" s="2" t="s">
        <v>7</v>
      </c>
      <c r="B10" s="5">
        <v>660000000</v>
      </c>
      <c r="C10" s="2" t="s">
        <v>26</v>
      </c>
    </row>
    <row r="11" spans="1:3">
      <c r="A11" s="2" t="s">
        <v>9</v>
      </c>
      <c r="B11" s="5">
        <v>530184110.61000001</v>
      </c>
      <c r="C11" s="5">
        <v>418180768.49000001</v>
      </c>
    </row>
    <row r="12" spans="1:3">
      <c r="A12" s="2" t="s">
        <v>8</v>
      </c>
      <c r="B12" s="5">
        <v>454183407</v>
      </c>
      <c r="C12" s="5">
        <v>469333743.48000002</v>
      </c>
    </row>
    <row r="13" spans="1:3">
      <c r="A13" s="2" t="s">
        <v>10</v>
      </c>
      <c r="B13" s="5">
        <v>60956599.140000001</v>
      </c>
      <c r="C13" s="5">
        <v>62253548.100000001</v>
      </c>
    </row>
    <row r="14" spans="1:3">
      <c r="A14" s="2" t="s">
        <v>11</v>
      </c>
      <c r="B14" s="5">
        <v>1739195530.9000001</v>
      </c>
      <c r="C14" s="5">
        <v>80145365.560000002</v>
      </c>
    </row>
    <row r="15" spans="1:3">
      <c r="A15" s="2" t="s">
        <v>12</v>
      </c>
      <c r="B15" s="5">
        <v>8992680698.6100006</v>
      </c>
      <c r="C15" s="5">
        <v>8529236804.8900003</v>
      </c>
    </row>
    <row r="16" spans="1:3">
      <c r="A16" s="2" t="s">
        <v>28</v>
      </c>
      <c r="B16" s="2"/>
      <c r="C16" s="2"/>
    </row>
    <row r="17" spans="1:3">
      <c r="A17" s="2" t="s">
        <v>29</v>
      </c>
      <c r="B17" s="2"/>
      <c r="C17" s="2"/>
    </row>
    <row r="18" spans="1:3">
      <c r="A18" s="2" t="s">
        <v>30</v>
      </c>
      <c r="B18" s="5">
        <v>69200000</v>
      </c>
      <c r="C18" s="2" t="s">
        <v>26</v>
      </c>
    </row>
    <row r="19" spans="1:3">
      <c r="A19" s="2" t="s">
        <v>13</v>
      </c>
      <c r="B19" s="5">
        <v>95768765.049999997</v>
      </c>
      <c r="C19" s="5">
        <v>91813709.780000001</v>
      </c>
    </row>
    <row r="20" spans="1:3">
      <c r="A20" s="2" t="s">
        <v>14</v>
      </c>
      <c r="B20" s="5">
        <v>1645261.77</v>
      </c>
      <c r="C20" s="5">
        <v>885202.46</v>
      </c>
    </row>
    <row r="21" spans="1:3">
      <c r="A21" s="2" t="s">
        <v>15</v>
      </c>
      <c r="B21" s="5">
        <v>11418931.99</v>
      </c>
      <c r="C21" s="5">
        <v>12825733.17</v>
      </c>
    </row>
    <row r="22" spans="1:3">
      <c r="A22" s="2" t="s">
        <v>16</v>
      </c>
      <c r="B22" s="5">
        <v>78253857.530000001</v>
      </c>
      <c r="C22" s="5">
        <v>3280102081.1599998</v>
      </c>
    </row>
    <row r="23" spans="1:3">
      <c r="A23" s="2" t="s">
        <v>17</v>
      </c>
      <c r="B23" s="5">
        <v>256286816.34</v>
      </c>
      <c r="C23" s="5">
        <v>3385626726.5700002</v>
      </c>
    </row>
    <row r="24" spans="1:3">
      <c r="A24" s="2" t="s">
        <v>18</v>
      </c>
      <c r="B24" s="2"/>
      <c r="C24" s="2"/>
    </row>
    <row r="25" spans="1:3">
      <c r="A25" s="2" t="s">
        <v>19</v>
      </c>
      <c r="B25" s="5">
        <v>4021688622</v>
      </c>
      <c r="C25" s="5">
        <v>3042600000</v>
      </c>
    </row>
    <row r="26" spans="1:3">
      <c r="A26" s="2" t="s">
        <v>20</v>
      </c>
      <c r="B26" s="5">
        <v>2378851504.1599998</v>
      </c>
      <c r="C26" s="5">
        <v>32145811.920000002</v>
      </c>
    </row>
    <row r="27" spans="1:3">
      <c r="A27" s="2" t="s">
        <v>21</v>
      </c>
      <c r="B27" s="5">
        <v>573871750.82000005</v>
      </c>
      <c r="C27" s="5">
        <v>547172801.85000002</v>
      </c>
    </row>
    <row r="28" spans="1:3">
      <c r="A28" s="2" t="s">
        <v>22</v>
      </c>
      <c r="B28" s="5">
        <v>298075585.75999999</v>
      </c>
      <c r="C28" s="5">
        <v>298075585.75999999</v>
      </c>
    </row>
    <row r="29" spans="1:3">
      <c r="A29" s="2" t="s">
        <v>23</v>
      </c>
      <c r="B29" s="5">
        <v>1463906419.53</v>
      </c>
      <c r="C29" s="5">
        <v>1223615878.79</v>
      </c>
    </row>
    <row r="30" spans="1:3">
      <c r="A30" s="2" t="s">
        <v>24</v>
      </c>
      <c r="B30" s="5">
        <v>8736393882.2700005</v>
      </c>
      <c r="C30" s="5">
        <v>5143610078.3199997</v>
      </c>
    </row>
  </sheetData>
  <mergeCells count="1">
    <mergeCell ref="A1:C1"/>
  </mergeCells>
  <phoneticPr fontId="2"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9"/>
  <sheetViews>
    <sheetView workbookViewId="0">
      <selection activeCell="F15" sqref="F15"/>
    </sheetView>
  </sheetViews>
  <sheetFormatPr defaultColWidth="9" defaultRowHeight="15.5"/>
  <cols>
    <col min="1" max="1" width="26.08984375" style="8" bestFit="1" customWidth="1"/>
    <col min="2" max="2" width="16.08984375" style="6" bestFit="1" customWidth="1"/>
    <col min="3" max="3" width="17.26953125" style="6" bestFit="1" customWidth="1"/>
    <col min="4" max="16384" width="9" style="1"/>
  </cols>
  <sheetData>
    <row r="1" spans="1:3" ht="15.75" customHeight="1">
      <c r="A1" s="510" t="s">
        <v>46</v>
      </c>
      <c r="B1" s="510"/>
      <c r="C1" s="510"/>
    </row>
    <row r="2" spans="1:3">
      <c r="A2" s="7"/>
      <c r="B2" s="3">
        <v>2013</v>
      </c>
      <c r="C2" s="3">
        <v>2012</v>
      </c>
    </row>
    <row r="3" spans="1:3">
      <c r="A3" s="7" t="s">
        <v>31</v>
      </c>
      <c r="B3" s="4">
        <v>361340244.43000001</v>
      </c>
      <c r="C3" s="4">
        <v>147070540.84</v>
      </c>
    </row>
    <row r="4" spans="1:3">
      <c r="A4" s="7" t="s">
        <v>32</v>
      </c>
      <c r="B4" s="4">
        <v>283165470.13</v>
      </c>
      <c r="C4" s="4">
        <v>62321673.32</v>
      </c>
    </row>
    <row r="5" spans="1:3">
      <c r="A5" s="7" t="s">
        <v>33</v>
      </c>
      <c r="B5" s="4">
        <v>1557576.2</v>
      </c>
      <c r="C5" s="4">
        <v>-1000</v>
      </c>
    </row>
    <row r="6" spans="1:3">
      <c r="A6" s="7" t="s">
        <v>47</v>
      </c>
      <c r="B6" s="4">
        <v>-25079514.370000001</v>
      </c>
      <c r="C6" s="4">
        <v>-260762.72</v>
      </c>
    </row>
    <row r="7" spans="1:3">
      <c r="A7" s="7" t="s">
        <v>34</v>
      </c>
      <c r="B7" s="4">
        <v>101696712.47</v>
      </c>
      <c r="C7" s="4">
        <v>85010630.239999995</v>
      </c>
    </row>
    <row r="8" spans="1:3">
      <c r="A8" s="7" t="s">
        <v>35</v>
      </c>
      <c r="B8" s="4">
        <v>-95456683.129999995</v>
      </c>
      <c r="C8" s="4">
        <v>-100604291.61</v>
      </c>
    </row>
    <row r="9" spans="1:3">
      <c r="A9" s="7" t="s">
        <v>36</v>
      </c>
      <c r="B9" s="4">
        <v>-10523588.869999999</v>
      </c>
      <c r="C9" s="4">
        <v>-11918055.890000001</v>
      </c>
    </row>
    <row r="10" spans="1:3">
      <c r="A10" s="7" t="s">
        <v>37</v>
      </c>
      <c r="B10" s="4">
        <v>-62817019.600000001</v>
      </c>
      <c r="C10" s="4">
        <v>-68351514.260000005</v>
      </c>
    </row>
    <row r="11" spans="1:3">
      <c r="A11" s="7" t="s">
        <v>38</v>
      </c>
      <c r="B11" s="4">
        <v>-22116074.66</v>
      </c>
      <c r="C11" s="4">
        <v>-20334721.460000001</v>
      </c>
    </row>
    <row r="12" spans="1:3">
      <c r="A12" s="7" t="s">
        <v>39</v>
      </c>
      <c r="B12" s="4">
        <v>265883561.30000001</v>
      </c>
      <c r="C12" s="4">
        <v>46466249.229999997</v>
      </c>
    </row>
    <row r="13" spans="1:3">
      <c r="A13" s="7" t="s">
        <v>40</v>
      </c>
      <c r="B13" s="4">
        <v>782732.2</v>
      </c>
      <c r="C13" s="4">
        <v>818232.2</v>
      </c>
    </row>
    <row r="14" spans="1:3">
      <c r="A14" s="7" t="s">
        <v>41</v>
      </c>
      <c r="B14" s="4">
        <v>-29466.71</v>
      </c>
      <c r="C14" s="4">
        <v>-336566.16</v>
      </c>
    </row>
    <row r="15" spans="1:3">
      <c r="A15" s="7" t="s">
        <v>42</v>
      </c>
      <c r="B15" s="4">
        <v>266636826.78999999</v>
      </c>
      <c r="C15" s="4">
        <v>46947915.270000003</v>
      </c>
    </row>
    <row r="16" spans="1:3">
      <c r="A16" s="7" t="s">
        <v>43</v>
      </c>
      <c r="B16" s="4">
        <v>352662.92</v>
      </c>
      <c r="C16" s="4">
        <v>-13065606.390000001</v>
      </c>
    </row>
    <row r="17" spans="1:3">
      <c r="A17" s="7" t="s">
        <v>44</v>
      </c>
      <c r="B17" s="4">
        <v>266989489.71000001</v>
      </c>
      <c r="C17" s="4">
        <v>33882308.880000003</v>
      </c>
    </row>
    <row r="18" spans="1:3">
      <c r="A18" s="7" t="s">
        <v>48</v>
      </c>
      <c r="B18" s="4">
        <v>-3107000.56</v>
      </c>
      <c r="C18" s="4">
        <v>-28672191.239999998</v>
      </c>
    </row>
    <row r="19" spans="1:3">
      <c r="A19" s="7" t="s">
        <v>45</v>
      </c>
      <c r="B19" s="4">
        <v>263882489.15000001</v>
      </c>
      <c r="C19" s="4">
        <v>5210117.6399999997</v>
      </c>
    </row>
  </sheetData>
  <mergeCells count="1">
    <mergeCell ref="A1:C1"/>
  </mergeCells>
  <phoneticPr fontId="2"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21"/>
  <sheetViews>
    <sheetView workbookViewId="0">
      <selection activeCell="K3" sqref="K3"/>
    </sheetView>
  </sheetViews>
  <sheetFormatPr defaultRowHeight="13"/>
  <cols>
    <col min="1" max="1" width="22.26953125" style="57" customWidth="1"/>
    <col min="2" max="2" width="13.36328125" style="70" customWidth="1"/>
    <col min="3" max="4" width="14.08984375" style="70" bestFit="1" customWidth="1"/>
    <col min="5" max="5" width="15.08984375" style="70" customWidth="1"/>
    <col min="6" max="6" width="14.08984375" style="70" bestFit="1" customWidth="1"/>
    <col min="7" max="8" width="15.08984375" style="57" customWidth="1"/>
    <col min="9" max="9" width="9" style="57"/>
    <col min="10" max="10" width="16.453125" style="57" customWidth="1"/>
    <col min="11" max="11" width="9" style="57"/>
    <col min="12" max="14" width="10.26953125" style="57" bestFit="1" customWidth="1"/>
    <col min="15" max="15" width="13.453125" style="57" bestFit="1" customWidth="1"/>
    <col min="16" max="258" width="9" style="57"/>
    <col min="259" max="259" width="34.08984375" style="57" bestFit="1" customWidth="1"/>
    <col min="260" max="264" width="16.08984375" style="57" bestFit="1" customWidth="1"/>
    <col min="265" max="514" width="9" style="57"/>
    <col min="515" max="515" width="34.08984375" style="57" bestFit="1" customWidth="1"/>
    <col min="516" max="520" width="16.08984375" style="57" bestFit="1" customWidth="1"/>
    <col min="521" max="770" width="9" style="57"/>
    <col min="771" max="771" width="34.08984375" style="57" bestFit="1" customWidth="1"/>
    <col min="772" max="776" width="16.08984375" style="57" bestFit="1" customWidth="1"/>
    <col min="777" max="1026" width="9" style="57"/>
    <col min="1027" max="1027" width="34.08984375" style="57" bestFit="1" customWidth="1"/>
    <col min="1028" max="1032" width="16.08984375" style="57" bestFit="1" customWidth="1"/>
    <col min="1033" max="1282" width="9" style="57"/>
    <col min="1283" max="1283" width="34.08984375" style="57" bestFit="1" customWidth="1"/>
    <col min="1284" max="1288" width="16.08984375" style="57" bestFit="1" customWidth="1"/>
    <col min="1289" max="1538" width="9" style="57"/>
    <col min="1539" max="1539" width="34.08984375" style="57" bestFit="1" customWidth="1"/>
    <col min="1540" max="1544" width="16.08984375" style="57" bestFit="1" customWidth="1"/>
    <col min="1545" max="1794" width="9" style="57"/>
    <col min="1795" max="1795" width="34.08984375" style="57" bestFit="1" customWidth="1"/>
    <col min="1796" max="1800" width="16.08984375" style="57" bestFit="1" customWidth="1"/>
    <col min="1801" max="2050" width="9" style="57"/>
    <col min="2051" max="2051" width="34.08984375" style="57" bestFit="1" customWidth="1"/>
    <col min="2052" max="2056" width="16.08984375" style="57" bestFit="1" customWidth="1"/>
    <col min="2057" max="2306" width="9" style="57"/>
    <col min="2307" max="2307" width="34.08984375" style="57" bestFit="1" customWidth="1"/>
    <col min="2308" max="2312" width="16.08984375" style="57" bestFit="1" customWidth="1"/>
    <col min="2313" max="2562" width="9" style="57"/>
    <col min="2563" max="2563" width="34.08984375" style="57" bestFit="1" customWidth="1"/>
    <col min="2564" max="2568" width="16.08984375" style="57" bestFit="1" customWidth="1"/>
    <col min="2569" max="2818" width="9" style="57"/>
    <col min="2819" max="2819" width="34.08984375" style="57" bestFit="1" customWidth="1"/>
    <col min="2820" max="2824" width="16.08984375" style="57" bestFit="1" customWidth="1"/>
    <col min="2825" max="3074" width="9" style="57"/>
    <col min="3075" max="3075" width="34.08984375" style="57" bestFit="1" customWidth="1"/>
    <col min="3076" max="3080" width="16.08984375" style="57" bestFit="1" customWidth="1"/>
    <col min="3081" max="3330" width="9" style="57"/>
    <col min="3331" max="3331" width="34.08984375" style="57" bestFit="1" customWidth="1"/>
    <col min="3332" max="3336" width="16.08984375" style="57" bestFit="1" customWidth="1"/>
    <col min="3337" max="3586" width="9" style="57"/>
    <col min="3587" max="3587" width="34.08984375" style="57" bestFit="1" customWidth="1"/>
    <col min="3588" max="3592" width="16.08984375" style="57" bestFit="1" customWidth="1"/>
    <col min="3593" max="3842" width="9" style="57"/>
    <col min="3843" max="3843" width="34.08984375" style="57" bestFit="1" customWidth="1"/>
    <col min="3844" max="3848" width="16.08984375" style="57" bestFit="1" customWidth="1"/>
    <col min="3849" max="4098" width="9" style="57"/>
    <col min="4099" max="4099" width="34.08984375" style="57" bestFit="1" customWidth="1"/>
    <col min="4100" max="4104" width="16.08984375" style="57" bestFit="1" customWidth="1"/>
    <col min="4105" max="4354" width="9" style="57"/>
    <col min="4355" max="4355" width="34.08984375" style="57" bestFit="1" customWidth="1"/>
    <col min="4356" max="4360" width="16.08984375" style="57" bestFit="1" customWidth="1"/>
    <col min="4361" max="4610" width="9" style="57"/>
    <col min="4611" max="4611" width="34.08984375" style="57" bestFit="1" customWidth="1"/>
    <col min="4612" max="4616" width="16.08984375" style="57" bestFit="1" customWidth="1"/>
    <col min="4617" max="4866" width="9" style="57"/>
    <col min="4867" max="4867" width="34.08984375" style="57" bestFit="1" customWidth="1"/>
    <col min="4868" max="4872" width="16.08984375" style="57" bestFit="1" customWidth="1"/>
    <col min="4873" max="5122" width="9" style="57"/>
    <col min="5123" max="5123" width="34.08984375" style="57" bestFit="1" customWidth="1"/>
    <col min="5124" max="5128" width="16.08984375" style="57" bestFit="1" customWidth="1"/>
    <col min="5129" max="5378" width="9" style="57"/>
    <col min="5379" max="5379" width="34.08984375" style="57" bestFit="1" customWidth="1"/>
    <col min="5380" max="5384" width="16.08984375" style="57" bestFit="1" customWidth="1"/>
    <col min="5385" max="5634" width="9" style="57"/>
    <col min="5635" max="5635" width="34.08984375" style="57" bestFit="1" customWidth="1"/>
    <col min="5636" max="5640" width="16.08984375" style="57" bestFit="1" customWidth="1"/>
    <col min="5641" max="5890" width="9" style="57"/>
    <col min="5891" max="5891" width="34.08984375" style="57" bestFit="1" customWidth="1"/>
    <col min="5892" max="5896" width="16.08984375" style="57" bestFit="1" customWidth="1"/>
    <col min="5897" max="6146" width="9" style="57"/>
    <col min="6147" max="6147" width="34.08984375" style="57" bestFit="1" customWidth="1"/>
    <col min="6148" max="6152" width="16.08984375" style="57" bestFit="1" customWidth="1"/>
    <col min="6153" max="6402" width="9" style="57"/>
    <col min="6403" max="6403" width="34.08984375" style="57" bestFit="1" customWidth="1"/>
    <col min="6404" max="6408" width="16.08984375" style="57" bestFit="1" customWidth="1"/>
    <col min="6409" max="6658" width="9" style="57"/>
    <col min="6659" max="6659" width="34.08984375" style="57" bestFit="1" customWidth="1"/>
    <col min="6660" max="6664" width="16.08984375" style="57" bestFit="1" customWidth="1"/>
    <col min="6665" max="6914" width="9" style="57"/>
    <col min="6915" max="6915" width="34.08984375" style="57" bestFit="1" customWidth="1"/>
    <col min="6916" max="6920" width="16.08984375" style="57" bestFit="1" customWidth="1"/>
    <col min="6921" max="7170" width="9" style="57"/>
    <col min="7171" max="7171" width="34.08984375" style="57" bestFit="1" customWidth="1"/>
    <col min="7172" max="7176" width="16.08984375" style="57" bestFit="1" customWidth="1"/>
    <col min="7177" max="7426" width="9" style="57"/>
    <col min="7427" max="7427" width="34.08984375" style="57" bestFit="1" customWidth="1"/>
    <col min="7428" max="7432" width="16.08984375" style="57" bestFit="1" customWidth="1"/>
    <col min="7433" max="7682" width="9" style="57"/>
    <col min="7683" max="7683" width="34.08984375" style="57" bestFit="1" customWidth="1"/>
    <col min="7684" max="7688" width="16.08984375" style="57" bestFit="1" customWidth="1"/>
    <col min="7689" max="7938" width="9" style="57"/>
    <col min="7939" max="7939" width="34.08984375" style="57" bestFit="1" customWidth="1"/>
    <col min="7940" max="7944" width="16.08984375" style="57" bestFit="1" customWidth="1"/>
    <col min="7945" max="8194" width="9" style="57"/>
    <col min="8195" max="8195" width="34.08984375" style="57" bestFit="1" customWidth="1"/>
    <col min="8196" max="8200" width="16.08984375" style="57" bestFit="1" customWidth="1"/>
    <col min="8201" max="8450" width="9" style="57"/>
    <col min="8451" max="8451" width="34.08984375" style="57" bestFit="1" customWidth="1"/>
    <col min="8452" max="8456" width="16.08984375" style="57" bestFit="1" customWidth="1"/>
    <col min="8457" max="8706" width="9" style="57"/>
    <col min="8707" max="8707" width="34.08984375" style="57" bestFit="1" customWidth="1"/>
    <col min="8708" max="8712" width="16.08984375" style="57" bestFit="1" customWidth="1"/>
    <col min="8713" max="8962" width="9" style="57"/>
    <col min="8963" max="8963" width="34.08984375" style="57" bestFit="1" customWidth="1"/>
    <col min="8964" max="8968" width="16.08984375" style="57" bestFit="1" customWidth="1"/>
    <col min="8969" max="9218" width="9" style="57"/>
    <col min="9219" max="9219" width="34.08984375" style="57" bestFit="1" customWidth="1"/>
    <col min="9220" max="9224" width="16.08984375" style="57" bestFit="1" customWidth="1"/>
    <col min="9225" max="9474" width="9" style="57"/>
    <col min="9475" max="9475" width="34.08984375" style="57" bestFit="1" customWidth="1"/>
    <col min="9476" max="9480" width="16.08984375" style="57" bestFit="1" customWidth="1"/>
    <col min="9481" max="9730" width="9" style="57"/>
    <col min="9731" max="9731" width="34.08984375" style="57" bestFit="1" customWidth="1"/>
    <col min="9732" max="9736" width="16.08984375" style="57" bestFit="1" customWidth="1"/>
    <col min="9737" max="9986" width="9" style="57"/>
    <col min="9987" max="9987" width="34.08984375" style="57" bestFit="1" customWidth="1"/>
    <col min="9988" max="9992" width="16.08984375" style="57" bestFit="1" customWidth="1"/>
    <col min="9993" max="10242" width="9" style="57"/>
    <col min="10243" max="10243" width="34.08984375" style="57" bestFit="1" customWidth="1"/>
    <col min="10244" max="10248" width="16.08984375" style="57" bestFit="1" customWidth="1"/>
    <col min="10249" max="10498" width="9" style="57"/>
    <col min="10499" max="10499" width="34.08984375" style="57" bestFit="1" customWidth="1"/>
    <col min="10500" max="10504" width="16.08984375" style="57" bestFit="1" customWidth="1"/>
    <col min="10505" max="10754" width="9" style="57"/>
    <col min="10755" max="10755" width="34.08984375" style="57" bestFit="1" customWidth="1"/>
    <col min="10756" max="10760" width="16.08984375" style="57" bestFit="1" customWidth="1"/>
    <col min="10761" max="11010" width="9" style="57"/>
    <col min="11011" max="11011" width="34.08984375" style="57" bestFit="1" customWidth="1"/>
    <col min="11012" max="11016" width="16.08984375" style="57" bestFit="1" customWidth="1"/>
    <col min="11017" max="11266" width="9" style="57"/>
    <col min="11267" max="11267" width="34.08984375" style="57" bestFit="1" customWidth="1"/>
    <col min="11268" max="11272" width="16.08984375" style="57" bestFit="1" customWidth="1"/>
    <col min="11273" max="11522" width="9" style="57"/>
    <col min="11523" max="11523" width="34.08984375" style="57" bestFit="1" customWidth="1"/>
    <col min="11524" max="11528" width="16.08984375" style="57" bestFit="1" customWidth="1"/>
    <col min="11529" max="11778" width="9" style="57"/>
    <col min="11779" max="11779" width="34.08984375" style="57" bestFit="1" customWidth="1"/>
    <col min="11780" max="11784" width="16.08984375" style="57" bestFit="1" customWidth="1"/>
    <col min="11785" max="12034" width="9" style="57"/>
    <col min="12035" max="12035" width="34.08984375" style="57" bestFit="1" customWidth="1"/>
    <col min="12036" max="12040" width="16.08984375" style="57" bestFit="1" customWidth="1"/>
    <col min="12041" max="12290" width="9" style="57"/>
    <col min="12291" max="12291" width="34.08984375" style="57" bestFit="1" customWidth="1"/>
    <col min="12292" max="12296" width="16.08984375" style="57" bestFit="1" customWidth="1"/>
    <col min="12297" max="12546" width="9" style="57"/>
    <col min="12547" max="12547" width="34.08984375" style="57" bestFit="1" customWidth="1"/>
    <col min="12548" max="12552" width="16.08984375" style="57" bestFit="1" customWidth="1"/>
    <col min="12553" max="12802" width="9" style="57"/>
    <col min="12803" max="12803" width="34.08984375" style="57" bestFit="1" customWidth="1"/>
    <col min="12804" max="12808" width="16.08984375" style="57" bestFit="1" customWidth="1"/>
    <col min="12809" max="13058" width="9" style="57"/>
    <col min="13059" max="13059" width="34.08984375" style="57" bestFit="1" customWidth="1"/>
    <col min="13060" max="13064" width="16.08984375" style="57" bestFit="1" customWidth="1"/>
    <col min="13065" max="13314" width="9" style="57"/>
    <col min="13315" max="13315" width="34.08984375" style="57" bestFit="1" customWidth="1"/>
    <col min="13316" max="13320" width="16.08984375" style="57" bestFit="1" customWidth="1"/>
    <col min="13321" max="13570" width="9" style="57"/>
    <col min="13571" max="13571" width="34.08984375" style="57" bestFit="1" customWidth="1"/>
    <col min="13572" max="13576" width="16.08984375" style="57" bestFit="1" customWidth="1"/>
    <col min="13577" max="13826" width="9" style="57"/>
    <col min="13827" max="13827" width="34.08984375" style="57" bestFit="1" customWidth="1"/>
    <col min="13828" max="13832" width="16.08984375" style="57" bestFit="1" customWidth="1"/>
    <col min="13833" max="14082" width="9" style="57"/>
    <col min="14083" max="14083" width="34.08984375" style="57" bestFit="1" customWidth="1"/>
    <col min="14084" max="14088" width="16.08984375" style="57" bestFit="1" customWidth="1"/>
    <col min="14089" max="14338" width="9" style="57"/>
    <col min="14339" max="14339" width="34.08984375" style="57" bestFit="1" customWidth="1"/>
    <col min="14340" max="14344" width="16.08984375" style="57" bestFit="1" customWidth="1"/>
    <col min="14345" max="14594" width="9" style="57"/>
    <col min="14595" max="14595" width="34.08984375" style="57" bestFit="1" customWidth="1"/>
    <col min="14596" max="14600" width="16.08984375" style="57" bestFit="1" customWidth="1"/>
    <col min="14601" max="14850" width="9" style="57"/>
    <col min="14851" max="14851" width="34.08984375" style="57" bestFit="1" customWidth="1"/>
    <col min="14852" max="14856" width="16.08984375" style="57" bestFit="1" customWidth="1"/>
    <col min="14857" max="15106" width="9" style="57"/>
    <col min="15107" max="15107" width="34.08984375" style="57" bestFit="1" customWidth="1"/>
    <col min="15108" max="15112" width="16.08984375" style="57" bestFit="1" customWidth="1"/>
    <col min="15113" max="15362" width="9" style="57"/>
    <col min="15363" max="15363" width="34.08984375" style="57" bestFit="1" customWidth="1"/>
    <col min="15364" max="15368" width="16.08984375" style="57" bestFit="1" customWidth="1"/>
    <col min="15369" max="15618" width="9" style="57"/>
    <col min="15619" max="15619" width="34.08984375" style="57" bestFit="1" customWidth="1"/>
    <col min="15620" max="15624" width="16.08984375" style="57" bestFit="1" customWidth="1"/>
    <col min="15625" max="15874" width="9" style="57"/>
    <col min="15875" max="15875" width="34.08984375" style="57" bestFit="1" customWidth="1"/>
    <col min="15876" max="15880" width="16.08984375" style="57" bestFit="1" customWidth="1"/>
    <col min="15881" max="16130" width="9" style="57"/>
    <col min="16131" max="16131" width="34.08984375" style="57" bestFit="1" customWidth="1"/>
    <col min="16132" max="16136" width="16.08984375" style="57" bestFit="1" customWidth="1"/>
    <col min="16137" max="16384" width="9" style="57"/>
  </cols>
  <sheetData>
    <row r="1" spans="1:16">
      <c r="A1" s="59" t="s">
        <v>90</v>
      </c>
      <c r="B1" s="243" t="s">
        <v>738</v>
      </c>
      <c r="C1" s="243" t="e">
        <f>#REF!</f>
        <v>#REF!</v>
      </c>
      <c r="D1" s="243" t="e">
        <f>#REF!</f>
        <v>#REF!</v>
      </c>
      <c r="E1" s="243" t="e">
        <f>#REF!</f>
        <v>#REF!</v>
      </c>
      <c r="F1" s="243" t="e">
        <f>#REF!</f>
        <v>#REF!</v>
      </c>
      <c r="G1" s="227" t="s">
        <v>741</v>
      </c>
      <c r="H1" s="227" t="s">
        <v>742</v>
      </c>
      <c r="J1" s="62"/>
      <c r="K1" s="63" t="e">
        <f>C1</f>
        <v>#REF!</v>
      </c>
      <c r="L1" s="63" t="e">
        <f>D1</f>
        <v>#REF!</v>
      </c>
      <c r="M1" s="63" t="e">
        <f>E1</f>
        <v>#REF!</v>
      </c>
      <c r="N1" s="63" t="e">
        <f>F1</f>
        <v>#REF!</v>
      </c>
      <c r="O1" s="63" t="s">
        <v>420</v>
      </c>
      <c r="P1" s="62" t="s">
        <v>253</v>
      </c>
    </row>
    <row r="2" spans="1:16">
      <c r="A2" s="57" t="s">
        <v>92</v>
      </c>
      <c r="B2" s="104" t="s">
        <v>93</v>
      </c>
      <c r="C2" s="104" t="s">
        <v>93</v>
      </c>
      <c r="D2" s="104" t="s">
        <v>93</v>
      </c>
      <c r="E2" s="104" t="s">
        <v>269</v>
      </c>
      <c r="F2" s="104" t="s">
        <v>94</v>
      </c>
      <c r="G2" s="58"/>
      <c r="H2" s="58"/>
      <c r="J2" s="62" t="s">
        <v>252</v>
      </c>
      <c r="K2" s="64">
        <f>山石网科IS!C36/(B106+C106)*2</f>
        <v>0.28306553341646756</v>
      </c>
      <c r="L2" s="64">
        <f>山石网科IS!D36/(C106+D106)*2</f>
        <v>0.21741541710163753</v>
      </c>
      <c r="M2" s="64">
        <f>山石网科IS!E36/(D106+E106)*2</f>
        <v>0.10142904916813025</v>
      </c>
      <c r="N2" s="64"/>
      <c r="O2" s="64"/>
      <c r="P2" s="64">
        <f>AVERAGE(K2:M2,O2)</f>
        <v>0.20063666656207846</v>
      </c>
    </row>
    <row r="3" spans="1:16">
      <c r="A3" s="57" t="s">
        <v>57</v>
      </c>
      <c r="B3" s="104" t="s">
        <v>95</v>
      </c>
      <c r="C3" s="104" t="s">
        <v>95</v>
      </c>
      <c r="D3" s="104" t="s">
        <v>95</v>
      </c>
      <c r="E3" s="104" t="s">
        <v>95</v>
      </c>
      <c r="F3" s="104" t="s">
        <v>95</v>
      </c>
      <c r="G3" s="58"/>
      <c r="H3" s="58"/>
      <c r="J3" s="62" t="s">
        <v>254</v>
      </c>
      <c r="K3" s="64">
        <f>(山石网科IS!C31+山石网科IS!C15)/(B49+C49)*2</f>
        <v>0.1692300242105137</v>
      </c>
      <c r="L3" s="64">
        <f>(山石网科IS!D31+山石网科IS!D15)/(C49+D49)*2</f>
        <v>0.14076353638786435</v>
      </c>
      <c r="M3" s="64">
        <f>(山石网科IS!E31+山石网科IS!E15)/(D49+E49)*2</f>
        <v>8.1857643569963903E-2</v>
      </c>
      <c r="N3" s="64"/>
      <c r="O3" s="64"/>
      <c r="P3" s="64">
        <f>AVERAGE(K3:M3,O3)</f>
        <v>0.13061706805611398</v>
      </c>
    </row>
    <row r="4" spans="1:16">
      <c r="A4" s="60" t="s">
        <v>96</v>
      </c>
      <c r="B4" s="244"/>
      <c r="C4" s="104" t="s">
        <v>49</v>
      </c>
      <c r="D4" s="104" t="s">
        <v>49</v>
      </c>
      <c r="E4" s="104" t="s">
        <v>49</v>
      </c>
      <c r="F4" s="104" t="s">
        <v>49</v>
      </c>
      <c r="G4" s="58"/>
      <c r="H4" s="58"/>
      <c r="J4" s="62" t="s">
        <v>255</v>
      </c>
      <c r="K4" s="65">
        <f>山石网科IS!J2</f>
        <v>0.13289333714652202</v>
      </c>
      <c r="L4" s="65">
        <f>山石网科IS!K2</f>
        <v>0.14052148839446807</v>
      </c>
      <c r="M4" s="65">
        <f>山石网科IS!L2</f>
        <v>0.14043717698246014</v>
      </c>
      <c r="N4" s="65"/>
      <c r="O4" s="65"/>
      <c r="P4" s="65">
        <f>AVERAGE(K4:M4,O4)</f>
        <v>0.13795066750781673</v>
      </c>
    </row>
    <row r="5" spans="1:16">
      <c r="A5" s="57" t="s">
        <v>736</v>
      </c>
      <c r="B5" s="70">
        <v>12051.383062999999</v>
      </c>
      <c r="C5" s="239">
        <v>6359.6580649999996</v>
      </c>
      <c r="D5" s="239">
        <v>22130.216574000002</v>
      </c>
      <c r="E5" s="239">
        <v>107517.32608399999</v>
      </c>
      <c r="F5" s="239">
        <v>27550.197526</v>
      </c>
      <c r="G5" s="61"/>
      <c r="H5" s="61"/>
      <c r="J5" s="62"/>
      <c r="K5" s="62"/>
      <c r="L5" s="62"/>
      <c r="M5" s="62"/>
      <c r="N5" s="62"/>
      <c r="O5" s="62"/>
      <c r="P5" s="62"/>
    </row>
    <row r="6" spans="1:16">
      <c r="A6" s="57" t="s">
        <v>98</v>
      </c>
      <c r="B6" s="70">
        <v>0</v>
      </c>
      <c r="C6" s="70">
        <v>0</v>
      </c>
      <c r="D6" s="70">
        <v>0</v>
      </c>
      <c r="E6" s="70">
        <v>0</v>
      </c>
      <c r="F6" s="70">
        <v>67520</v>
      </c>
      <c r="G6" s="61">
        <f>F6</f>
        <v>67520</v>
      </c>
      <c r="H6" s="61" t="s">
        <v>743</v>
      </c>
      <c r="J6" s="56" t="s">
        <v>257</v>
      </c>
      <c r="K6" s="38">
        <f>山石网科IS!C4/(B49+C49)*2</f>
        <v>1.2768880080133225</v>
      </c>
      <c r="L6" s="38">
        <f>山石网科IS!D4/(C49+D49)*2</f>
        <v>0.97866986816313972</v>
      </c>
      <c r="M6" s="38">
        <f>山石网科IS!E4/(D49+E49)*2</f>
        <v>0.56884988070795339</v>
      </c>
      <c r="N6" s="38"/>
      <c r="O6" s="38"/>
      <c r="P6" s="38">
        <f>AVERAGE(K6:M6,O6)</f>
        <v>0.94146925229480516</v>
      </c>
    </row>
    <row r="7" spans="1:16">
      <c r="A7" s="57" t="s">
        <v>99</v>
      </c>
      <c r="G7" s="61"/>
      <c r="H7" s="61"/>
      <c r="J7" s="56" t="s">
        <v>244</v>
      </c>
      <c r="K7" s="38">
        <f>山石网科IS!C4/(B24+C24)*2</f>
        <v>1.3653342387877616</v>
      </c>
      <c r="L7" s="38">
        <f>山石网科IS!D4/(C24+D24)*2</f>
        <v>1.0465027062660666</v>
      </c>
      <c r="M7" s="38">
        <f>山石网科IS!E4/(D24+E24)*2</f>
        <v>0.59403347807225726</v>
      </c>
      <c r="N7" s="38"/>
      <c r="O7" s="38"/>
      <c r="P7" s="38">
        <f>AVERAGE(K7:M7,O7)</f>
        <v>1.0019568077086951</v>
      </c>
    </row>
    <row r="8" spans="1:16">
      <c r="A8" s="57" t="s">
        <v>100</v>
      </c>
      <c r="C8" s="239"/>
      <c r="D8" s="239"/>
      <c r="E8" s="239"/>
      <c r="F8" s="239"/>
      <c r="G8" s="61"/>
      <c r="H8" s="61"/>
      <c r="J8" s="56" t="s">
        <v>245</v>
      </c>
      <c r="K8" s="66">
        <f>山石网科IS!C4/(C8+B8+C9+B9+C12+B12)*2</f>
        <v>2.62312881864597</v>
      </c>
      <c r="L8" s="66">
        <f>山石网科IS!D4/(D8+C8+D9+C9+D12+C12)*2</f>
        <v>1.8124360037354428</v>
      </c>
      <c r="M8" s="66">
        <f>山石网科IS!E4/(E8+D8+E9+D9+E12+D12)*2</f>
        <v>1.6503542003469081</v>
      </c>
      <c r="N8" s="66"/>
      <c r="O8" s="66"/>
      <c r="P8" s="66">
        <f>AVERAGE(K8:M8,O8)</f>
        <v>2.0286396742427737</v>
      </c>
    </row>
    <row r="9" spans="1:16">
      <c r="A9" s="57" t="s">
        <v>101</v>
      </c>
      <c r="B9" s="70">
        <v>11523.35348</v>
      </c>
      <c r="C9" s="239">
        <v>21094.318466000001</v>
      </c>
      <c r="D9" s="239">
        <v>32642.222198000003</v>
      </c>
      <c r="E9" s="239">
        <v>41042.234070999999</v>
      </c>
      <c r="F9" s="239">
        <v>46596.362101999999</v>
      </c>
      <c r="G9" s="61"/>
      <c r="H9" s="61"/>
      <c r="J9" s="62"/>
      <c r="K9" s="62"/>
      <c r="L9" s="62"/>
      <c r="M9" s="62"/>
      <c r="N9" s="62"/>
      <c r="O9" s="62"/>
      <c r="P9" s="62"/>
    </row>
    <row r="10" spans="1:16">
      <c r="A10" s="57" t="s">
        <v>102</v>
      </c>
      <c r="B10" s="70">
        <v>241.18946099999999</v>
      </c>
      <c r="C10" s="239">
        <v>364.82005099999998</v>
      </c>
      <c r="D10" s="239">
        <v>254.04334700000001</v>
      </c>
      <c r="E10" s="239">
        <v>660.308538</v>
      </c>
      <c r="F10" s="239">
        <v>996.07215299999996</v>
      </c>
      <c r="G10" s="61"/>
      <c r="H10" s="61"/>
      <c r="J10" s="56" t="s">
        <v>246</v>
      </c>
      <c r="K10" s="64">
        <f>C88/C49</f>
        <v>0.45914182715253649</v>
      </c>
      <c r="L10" s="64">
        <f>D88/D49</f>
        <v>0.44248686117388802</v>
      </c>
      <c r="M10" s="64">
        <f>E88/E49</f>
        <v>0.1513895514093917</v>
      </c>
      <c r="N10" s="64"/>
      <c r="O10" s="64"/>
      <c r="P10" s="64">
        <f>AVERAGE(K10:M10,O10)</f>
        <v>0.35100607991193877</v>
      </c>
    </row>
    <row r="11" spans="1:16">
      <c r="A11" s="57" t="s">
        <v>103</v>
      </c>
      <c r="G11" s="61"/>
      <c r="H11" s="61"/>
      <c r="J11" s="56" t="s">
        <v>247</v>
      </c>
      <c r="K11" s="68">
        <f>山石网科IS!J3</f>
        <v>0</v>
      </c>
      <c r="L11" s="68">
        <f>山石网科IS!K3</f>
        <v>39.061773496273368</v>
      </c>
      <c r="M11" s="68">
        <f>山石网科IS!L3</f>
        <v>37.754239796686996</v>
      </c>
      <c r="N11" s="68"/>
      <c r="O11" s="68"/>
      <c r="P11" s="68">
        <f>AVERAGE(K11:M11,O11)</f>
        <v>25.605337764320122</v>
      </c>
    </row>
    <row r="12" spans="1:16">
      <c r="A12" s="57" t="s">
        <v>104</v>
      </c>
      <c r="B12" s="70">
        <v>2129.6113089999999</v>
      </c>
      <c r="C12" s="239">
        <v>558.53844299999992</v>
      </c>
      <c r="D12" s="239">
        <v>7751.4475920000004</v>
      </c>
      <c r="E12" s="239">
        <v>312.69224500000001</v>
      </c>
      <c r="F12" s="239">
        <v>573.96504299999992</v>
      </c>
      <c r="G12" s="61"/>
      <c r="H12" s="61" t="s">
        <v>744</v>
      </c>
      <c r="J12" s="56" t="s">
        <v>248</v>
      </c>
      <c r="K12" s="64">
        <f>(C24-C15)/C72</f>
        <v>1.9441243831954889</v>
      </c>
      <c r="L12" s="64">
        <f>(D24-D15)/D72</f>
        <v>2.0774752586754337</v>
      </c>
      <c r="M12" s="64">
        <f>(E24-E15)/E72</f>
        <v>6.8226239503405219</v>
      </c>
      <c r="N12" s="64"/>
      <c r="O12" s="64"/>
      <c r="P12" s="64">
        <f>AVERAGE(K12:M12,O12)</f>
        <v>3.6147411974038151</v>
      </c>
    </row>
    <row r="13" spans="1:16">
      <c r="A13" s="57" t="s">
        <v>105</v>
      </c>
      <c r="G13" s="61"/>
      <c r="H13" s="61"/>
    </row>
    <row r="14" spans="1:16">
      <c r="A14" s="57" t="s">
        <v>106</v>
      </c>
      <c r="G14" s="61"/>
      <c r="H14" s="61"/>
      <c r="J14" s="56" t="s">
        <v>249</v>
      </c>
      <c r="K14" s="64">
        <f>山石网科IS!J6</f>
        <v>0.41815182022582231</v>
      </c>
      <c r="L14" s="64">
        <f>山石网科IS!K6</f>
        <v>0.21426705912566413</v>
      </c>
      <c r="M14" s="64">
        <f>山石网科IS!L6</f>
        <v>0.19971284855148719</v>
      </c>
      <c r="N14" s="64"/>
      <c r="O14" s="64"/>
      <c r="P14" s="64">
        <f>AVERAGE(K14:M14,O14)</f>
        <v>0.27737724263432456</v>
      </c>
    </row>
    <row r="15" spans="1:16">
      <c r="A15" s="57" t="s">
        <v>107</v>
      </c>
      <c r="B15" s="70">
        <v>2714.6785970000001</v>
      </c>
      <c r="C15" s="239">
        <v>3470.2455420000001</v>
      </c>
      <c r="D15" s="239">
        <v>5040.7857020000001</v>
      </c>
      <c r="E15" s="239">
        <v>4886.6694450000005</v>
      </c>
      <c r="F15" s="239">
        <v>6963.7095939999999</v>
      </c>
      <c r="G15" s="61"/>
      <c r="H15" s="61"/>
      <c r="J15" s="56" t="s">
        <v>250</v>
      </c>
      <c r="K15" s="65">
        <f>C106/B106-1</f>
        <v>5.2565431577870303E-2</v>
      </c>
      <c r="L15" s="65">
        <f>D106/C106-1</f>
        <v>0.91345675597968246</v>
      </c>
      <c r="M15" s="65">
        <f>E106/D106-1</f>
        <v>2.31207126844699</v>
      </c>
      <c r="N15" s="65"/>
      <c r="O15" s="65"/>
      <c r="P15" s="65">
        <f>AVERAGE(K15:M15,O15)</f>
        <v>1.0926978186681808</v>
      </c>
    </row>
    <row r="16" spans="1:16">
      <c r="A16" s="57" t="s">
        <v>108</v>
      </c>
      <c r="G16" s="61"/>
      <c r="H16" s="61"/>
      <c r="J16" s="56" t="s">
        <v>261</v>
      </c>
      <c r="K16" s="64">
        <f>山石网科IS!J8</f>
        <v>3.3372215810650956</v>
      </c>
      <c r="L16" s="64">
        <f>山石网科IS!K8</f>
        <v>0.28396666168885876</v>
      </c>
      <c r="M16" s="64">
        <f>山石网科IS!L8</f>
        <v>0.19899303348675135</v>
      </c>
      <c r="N16" s="64"/>
      <c r="O16" s="64"/>
      <c r="P16" s="64">
        <f>AVERAGE(K16:M16,O16)</f>
        <v>1.273393758746902</v>
      </c>
    </row>
    <row r="17" spans="1:8">
      <c r="A17" s="57" t="s">
        <v>109</v>
      </c>
      <c r="G17" s="61"/>
      <c r="H17" s="61"/>
    </row>
    <row r="18" spans="1:8">
      <c r="A18" s="57" t="s">
        <v>110</v>
      </c>
      <c r="G18" s="61"/>
      <c r="H18" s="61"/>
    </row>
    <row r="19" spans="1:8">
      <c r="A19" s="57" t="s">
        <v>111</v>
      </c>
      <c r="G19" s="61"/>
      <c r="H19" s="61"/>
    </row>
    <row r="20" spans="1:8">
      <c r="A20" s="57" t="s">
        <v>112</v>
      </c>
      <c r="B20" s="70">
        <v>1760.796482</v>
      </c>
      <c r="C20" s="239">
        <v>5562.2104669999999</v>
      </c>
      <c r="D20" s="239">
        <v>2229.7525930000002</v>
      </c>
      <c r="E20" s="239">
        <v>2647.68136</v>
      </c>
      <c r="F20" s="239">
        <v>1292.7617419999999</v>
      </c>
      <c r="G20" s="61">
        <f>F20</f>
        <v>1292.7617419999999</v>
      </c>
      <c r="H20" s="61" t="s">
        <v>745</v>
      </c>
    </row>
    <row r="21" spans="1:8">
      <c r="A21" s="57" t="s">
        <v>113</v>
      </c>
      <c r="G21" s="61"/>
      <c r="H21" s="61"/>
    </row>
    <row r="22" spans="1:8">
      <c r="A22" s="57" t="s">
        <v>114</v>
      </c>
      <c r="G22" s="61"/>
      <c r="H22" s="61"/>
    </row>
    <row r="23" spans="1:8">
      <c r="A23" s="57" t="s">
        <v>115</v>
      </c>
      <c r="G23" s="61"/>
      <c r="H23" s="61"/>
    </row>
    <row r="24" spans="1:8">
      <c r="A24" s="60" t="s">
        <v>116</v>
      </c>
      <c r="B24" s="244">
        <f t="shared" ref="B24:G24" si="0">SUM(B5:B23)</f>
        <v>30421.012392000001</v>
      </c>
      <c r="C24" s="244">
        <f t="shared" si="0"/>
        <v>37409.791034000002</v>
      </c>
      <c r="D24" s="244">
        <f t="shared" si="0"/>
        <v>70048.468005999996</v>
      </c>
      <c r="E24" s="244">
        <f t="shared" si="0"/>
        <v>157066.911743</v>
      </c>
      <c r="F24" s="244">
        <f t="shared" si="0"/>
        <v>151493.06816000002</v>
      </c>
      <c r="G24" s="244">
        <f t="shared" si="0"/>
        <v>68812.761742000002</v>
      </c>
      <c r="H24" s="101"/>
    </row>
    <row r="25" spans="1:8">
      <c r="A25" s="60" t="s">
        <v>117</v>
      </c>
      <c r="B25" s="244"/>
      <c r="C25" s="104" t="s">
        <v>49</v>
      </c>
      <c r="D25" s="104" t="s">
        <v>49</v>
      </c>
      <c r="E25" s="104" t="s">
        <v>49</v>
      </c>
      <c r="F25" s="104" t="s">
        <v>49</v>
      </c>
      <c r="G25" s="58"/>
      <c r="H25" s="58"/>
    </row>
    <row r="26" spans="1:8">
      <c r="A26" s="57" t="s">
        <v>118</v>
      </c>
      <c r="G26" s="61"/>
      <c r="H26" s="61"/>
    </row>
    <row r="27" spans="1:8">
      <c r="A27" s="57" t="s">
        <v>119</v>
      </c>
      <c r="G27" s="61"/>
      <c r="H27" s="61"/>
    </row>
    <row r="28" spans="1:8">
      <c r="A28" s="57" t="s">
        <v>120</v>
      </c>
      <c r="G28" s="61"/>
      <c r="H28" s="61"/>
    </row>
    <row r="29" spans="1:8">
      <c r="A29" s="57" t="s">
        <v>121</v>
      </c>
      <c r="G29" s="61"/>
      <c r="H29" s="61"/>
    </row>
    <row r="30" spans="1:8">
      <c r="A30" s="57" t="s">
        <v>122</v>
      </c>
      <c r="B30" s="70">
        <v>0</v>
      </c>
      <c r="C30" s="239">
        <v>0</v>
      </c>
      <c r="D30" s="239">
        <v>0</v>
      </c>
      <c r="E30" s="239">
        <v>0</v>
      </c>
      <c r="F30" s="239">
        <v>997.56560899999999</v>
      </c>
      <c r="G30" s="61">
        <f>F30</f>
        <v>997.56560899999999</v>
      </c>
      <c r="H30" s="61"/>
    </row>
    <row r="31" spans="1:8">
      <c r="A31" s="57" t="s">
        <v>123</v>
      </c>
      <c r="G31" s="61"/>
      <c r="H31" s="61"/>
    </row>
    <row r="32" spans="1:8">
      <c r="A32" s="57" t="s">
        <v>124</v>
      </c>
      <c r="B32" s="70">
        <v>1362.54367</v>
      </c>
      <c r="C32" s="239">
        <v>2347.3698469999999</v>
      </c>
      <c r="D32" s="239">
        <v>3370.723947</v>
      </c>
      <c r="E32" s="239">
        <v>3929.8485770000002</v>
      </c>
      <c r="F32" s="239">
        <v>5214.5024569999996</v>
      </c>
      <c r="G32" s="61"/>
      <c r="H32" s="61"/>
    </row>
    <row r="33" spans="1:8">
      <c r="A33" s="57" t="s">
        <v>125</v>
      </c>
      <c r="G33" s="61"/>
      <c r="H33" s="61"/>
    </row>
    <row r="34" spans="1:8">
      <c r="A34" s="57" t="s">
        <v>126</v>
      </c>
      <c r="G34" s="61"/>
      <c r="H34" s="61"/>
    </row>
    <row r="35" spans="1:8">
      <c r="A35" s="57" t="s">
        <v>127</v>
      </c>
      <c r="G35" s="61"/>
      <c r="H35" s="61"/>
    </row>
    <row r="36" spans="1:8">
      <c r="A36" s="57" t="s">
        <v>128</v>
      </c>
      <c r="G36" s="61"/>
      <c r="H36" s="61"/>
    </row>
    <row r="37" spans="1:8">
      <c r="A37" s="57" t="s">
        <v>129</v>
      </c>
      <c r="G37" s="61"/>
      <c r="H37" s="61"/>
    </row>
    <row r="38" spans="1:8">
      <c r="A38" s="57" t="s">
        <v>130</v>
      </c>
      <c r="B38" s="70">
        <v>127.14193999999999</v>
      </c>
      <c r="C38" s="239">
        <v>103.96126700000001</v>
      </c>
      <c r="D38" s="239">
        <v>520.99787800000001</v>
      </c>
      <c r="E38" s="239">
        <v>537.96783099999993</v>
      </c>
      <c r="F38" s="239">
        <v>1024.4126859999999</v>
      </c>
      <c r="G38" s="61"/>
      <c r="H38" s="61"/>
    </row>
    <row r="39" spans="1:8">
      <c r="A39" s="57" t="s">
        <v>131</v>
      </c>
      <c r="G39" s="61"/>
      <c r="H39" s="61"/>
    </row>
    <row r="40" spans="1:8">
      <c r="A40" s="57" t="s">
        <v>132</v>
      </c>
      <c r="G40" s="61"/>
      <c r="H40" s="61"/>
    </row>
    <row r="41" spans="1:8">
      <c r="A41" s="57" t="s">
        <v>133</v>
      </c>
      <c r="B41" s="70">
        <v>261.05666600000001</v>
      </c>
      <c r="C41" s="239">
        <v>173.20355499999999</v>
      </c>
      <c r="D41" s="239">
        <v>144.20780300000001</v>
      </c>
      <c r="E41" s="239">
        <v>59.130115000000004</v>
      </c>
      <c r="F41" s="239">
        <v>357.88410800000003</v>
      </c>
      <c r="G41" s="61"/>
      <c r="H41" s="61"/>
    </row>
    <row r="42" spans="1:8">
      <c r="A42" s="57" t="s">
        <v>134</v>
      </c>
      <c r="B42" s="70">
        <v>128.33126000000001</v>
      </c>
      <c r="C42" s="239">
        <v>194.82960299999999</v>
      </c>
      <c r="D42" s="239">
        <v>592.77303800000004</v>
      </c>
      <c r="E42" s="239">
        <v>898.99347299999999</v>
      </c>
      <c r="F42" s="239">
        <v>1118.176813</v>
      </c>
      <c r="G42" s="61">
        <f>F42</f>
        <v>1118.176813</v>
      </c>
      <c r="H42" s="61"/>
    </row>
    <row r="43" spans="1:8">
      <c r="A43" s="57" t="s">
        <v>135</v>
      </c>
      <c r="G43" s="61"/>
      <c r="H43" s="61"/>
    </row>
    <row r="44" spans="1:8">
      <c r="A44" s="57" t="s">
        <v>136</v>
      </c>
      <c r="G44" s="61"/>
      <c r="H44" s="61"/>
    </row>
    <row r="45" spans="1:8">
      <c r="A45" s="57" t="s">
        <v>137</v>
      </c>
      <c r="G45" s="61"/>
      <c r="H45" s="61"/>
    </row>
    <row r="46" spans="1:8">
      <c r="A46" s="60" t="s">
        <v>138</v>
      </c>
      <c r="B46" s="244">
        <f t="shared" ref="B46:G46" si="1">SUM(B26:B45)</f>
        <v>1879.0735359999999</v>
      </c>
      <c r="C46" s="244">
        <f t="shared" si="1"/>
        <v>2819.3642720000003</v>
      </c>
      <c r="D46" s="244">
        <f t="shared" si="1"/>
        <v>4628.7026660000001</v>
      </c>
      <c r="E46" s="244">
        <f t="shared" si="1"/>
        <v>5425.939996000001</v>
      </c>
      <c r="F46" s="244">
        <f t="shared" si="1"/>
        <v>8712.5416729999997</v>
      </c>
      <c r="G46" s="244">
        <f t="shared" si="1"/>
        <v>2115.7424220000003</v>
      </c>
      <c r="H46" s="101"/>
    </row>
    <row r="47" spans="1:8">
      <c r="A47" s="57" t="s">
        <v>139</v>
      </c>
      <c r="G47" s="61"/>
      <c r="H47" s="61"/>
    </row>
    <row r="48" spans="1:8">
      <c r="A48" s="57" t="s">
        <v>140</v>
      </c>
      <c r="G48" s="61"/>
      <c r="H48" s="61"/>
    </row>
    <row r="49" spans="1:8">
      <c r="A49" s="60" t="s">
        <v>12</v>
      </c>
      <c r="B49" s="244">
        <f t="shared" ref="B49:F49" si="2">B46+B24</f>
        <v>32300.085928</v>
      </c>
      <c r="C49" s="244">
        <f t="shared" si="2"/>
        <v>40229.155306000001</v>
      </c>
      <c r="D49" s="244">
        <f t="shared" si="2"/>
        <v>74677.170671999993</v>
      </c>
      <c r="E49" s="244">
        <f t="shared" si="2"/>
        <v>162492.85173900001</v>
      </c>
      <c r="F49" s="244">
        <f t="shared" si="2"/>
        <v>160205.60983300002</v>
      </c>
      <c r="G49" s="244">
        <f>G46+G24</f>
        <v>70928.504163999998</v>
      </c>
      <c r="H49" s="101"/>
    </row>
    <row r="50" spans="1:8">
      <c r="A50" s="60" t="s">
        <v>141</v>
      </c>
      <c r="B50" s="244"/>
      <c r="C50" s="104" t="s">
        <v>49</v>
      </c>
      <c r="D50" s="104" t="s">
        <v>49</v>
      </c>
      <c r="E50" s="104" t="s">
        <v>49</v>
      </c>
      <c r="F50" s="104" t="s">
        <v>49</v>
      </c>
      <c r="G50" s="58"/>
      <c r="H50" s="58"/>
    </row>
    <row r="51" spans="1:8">
      <c r="A51" s="57" t="s">
        <v>142</v>
      </c>
      <c r="B51" s="70">
        <v>0</v>
      </c>
      <c r="C51" s="239">
        <v>0</v>
      </c>
      <c r="D51" s="239">
        <v>2000</v>
      </c>
      <c r="E51" s="239">
        <v>1000</v>
      </c>
      <c r="F51" s="239">
        <v>0</v>
      </c>
      <c r="G51" s="61"/>
      <c r="H51" s="61"/>
    </row>
    <row r="52" spans="1:8">
      <c r="A52" s="57" t="s">
        <v>143</v>
      </c>
      <c r="G52" s="61"/>
      <c r="H52" s="61"/>
    </row>
    <row r="53" spans="1:8">
      <c r="A53" s="57" t="s">
        <v>144</v>
      </c>
      <c r="G53" s="61"/>
      <c r="H53" s="61"/>
    </row>
    <row r="54" spans="1:8">
      <c r="G54" s="61"/>
      <c r="H54" s="61"/>
    </row>
    <row r="55" spans="1:8">
      <c r="A55" s="102" t="s">
        <v>302</v>
      </c>
      <c r="B55" s="239">
        <v>2663.7918059999997</v>
      </c>
      <c r="C55" s="239">
        <v>3112.5502000000001</v>
      </c>
      <c r="D55" s="239">
        <v>5003.7964069999998</v>
      </c>
      <c r="E55" s="239">
        <v>4891.9063509999996</v>
      </c>
      <c r="F55" s="239">
        <v>13010.522062</v>
      </c>
      <c r="G55" s="61"/>
      <c r="H55" s="61"/>
    </row>
    <row r="56" spans="1:8">
      <c r="A56" s="57" t="s">
        <v>147</v>
      </c>
      <c r="B56" s="70">
        <v>1727.73669</v>
      </c>
      <c r="C56" s="239">
        <v>766.58694100000002</v>
      </c>
      <c r="D56" s="239">
        <v>560.39704500000005</v>
      </c>
      <c r="E56" s="239">
        <v>569.27803200000005</v>
      </c>
      <c r="F56" s="239">
        <v>0</v>
      </c>
      <c r="G56" s="61"/>
      <c r="H56" s="61"/>
    </row>
    <row r="57" spans="1:8">
      <c r="A57" s="102" t="s">
        <v>737</v>
      </c>
      <c r="B57" s="239"/>
      <c r="C57" s="239">
        <v>0</v>
      </c>
      <c r="D57" s="239">
        <v>0</v>
      </c>
      <c r="E57" s="239">
        <v>0</v>
      </c>
      <c r="F57" s="239">
        <v>1948.4577280000001</v>
      </c>
      <c r="G57" s="61"/>
      <c r="H57" s="61"/>
    </row>
    <row r="58" spans="1:8">
      <c r="A58" s="57" t="s">
        <v>148</v>
      </c>
      <c r="B58" s="70">
        <v>2167.3470560000001</v>
      </c>
      <c r="C58" s="239">
        <v>3220.683681</v>
      </c>
      <c r="D58" s="239">
        <v>3961.5708210000003</v>
      </c>
      <c r="E58" s="239">
        <v>4691.0108799999998</v>
      </c>
      <c r="F58" s="239">
        <v>3979.4600600000003</v>
      </c>
      <c r="G58" s="61"/>
      <c r="H58" s="61"/>
    </row>
    <row r="59" spans="1:8">
      <c r="A59" s="57" t="s">
        <v>149</v>
      </c>
      <c r="B59" s="70">
        <v>512.72519199999999</v>
      </c>
      <c r="C59" s="239">
        <v>704.36960299999998</v>
      </c>
      <c r="D59" s="239">
        <v>1828.9356319999999</v>
      </c>
      <c r="E59" s="239">
        <v>857.708842</v>
      </c>
      <c r="F59" s="239">
        <v>444.72011799999996</v>
      </c>
      <c r="G59" s="61"/>
      <c r="H59" s="61"/>
    </row>
    <row r="60" spans="1:8">
      <c r="A60" s="57" t="s">
        <v>150</v>
      </c>
      <c r="C60" s="239"/>
      <c r="D60" s="239"/>
      <c r="E60" s="239"/>
      <c r="F60" s="239"/>
      <c r="G60" s="61"/>
      <c r="H60" s="61"/>
    </row>
    <row r="61" spans="1:8">
      <c r="A61" s="57" t="s">
        <v>151</v>
      </c>
      <c r="G61" s="61"/>
      <c r="H61" s="61"/>
    </row>
    <row r="62" spans="1:8">
      <c r="A62" s="57" t="s">
        <v>152</v>
      </c>
      <c r="B62" s="70">
        <v>1640.2969539999999</v>
      </c>
      <c r="C62" s="239">
        <v>5425.4978860000001</v>
      </c>
      <c r="D62" s="239">
        <v>10586.134633</v>
      </c>
      <c r="E62" s="239">
        <v>3798.1299880000001</v>
      </c>
      <c r="F62" s="239">
        <v>2302.6347289999999</v>
      </c>
      <c r="G62" s="61"/>
      <c r="H62" s="61"/>
    </row>
    <row r="63" spans="1:8">
      <c r="A63" s="57" t="s">
        <v>153</v>
      </c>
      <c r="G63" s="61"/>
      <c r="H63" s="61"/>
    </row>
    <row r="64" spans="1:8">
      <c r="A64" s="57" t="s">
        <v>154</v>
      </c>
      <c r="G64" s="61"/>
      <c r="H64" s="61"/>
    </row>
    <row r="65" spans="1:8">
      <c r="A65" s="57" t="s">
        <v>155</v>
      </c>
      <c r="G65" s="61"/>
      <c r="H65" s="61"/>
    </row>
    <row r="66" spans="1:8">
      <c r="A66" s="57" t="s">
        <v>156</v>
      </c>
      <c r="G66" s="61"/>
      <c r="H66" s="61"/>
    </row>
    <row r="67" spans="1:8">
      <c r="A67" s="57" t="s">
        <v>157</v>
      </c>
      <c r="G67" s="61"/>
      <c r="H67" s="61"/>
    </row>
    <row r="68" spans="1:8">
      <c r="A68" s="57" t="s">
        <v>158</v>
      </c>
      <c r="B68" s="70">
        <v>2113.3194039999998</v>
      </c>
      <c r="C68" s="239">
        <v>4227.8086400000002</v>
      </c>
      <c r="D68" s="239">
        <v>7350.8412749999998</v>
      </c>
      <c r="E68" s="239">
        <v>6497.2026320000004</v>
      </c>
      <c r="F68" s="239">
        <v>5225.365914</v>
      </c>
      <c r="G68" s="61"/>
      <c r="H68" s="61"/>
    </row>
    <row r="69" spans="1:8">
      <c r="A69" s="57" t="s">
        <v>159</v>
      </c>
      <c r="G69" s="61"/>
      <c r="H69" s="61"/>
    </row>
    <row r="70" spans="1:8">
      <c r="A70" s="57" t="s">
        <v>160</v>
      </c>
      <c r="G70" s="61"/>
      <c r="H70" s="61"/>
    </row>
    <row r="71" spans="1:8">
      <c r="A71" s="57" t="s">
        <v>161</v>
      </c>
      <c r="G71" s="61"/>
      <c r="H71" s="61"/>
    </row>
    <row r="72" spans="1:8">
      <c r="A72" s="60" t="s">
        <v>162</v>
      </c>
      <c r="B72" s="244">
        <f t="shared" ref="B72:G72" si="3">SUM(B51:B71)</f>
        <v>10825.217101999999</v>
      </c>
      <c r="C72" s="244">
        <f t="shared" si="3"/>
        <v>17457.496951000001</v>
      </c>
      <c r="D72" s="244">
        <f t="shared" si="3"/>
        <v>31291.675813000002</v>
      </c>
      <c r="E72" s="244">
        <f t="shared" si="3"/>
        <v>22305.236725000002</v>
      </c>
      <c r="F72" s="244">
        <f t="shared" si="3"/>
        <v>26911.160610999999</v>
      </c>
      <c r="G72" s="244">
        <f t="shared" si="3"/>
        <v>0</v>
      </c>
      <c r="H72" s="101"/>
    </row>
    <row r="73" spans="1:8">
      <c r="A73" s="60" t="s">
        <v>163</v>
      </c>
      <c r="B73" s="244"/>
      <c r="C73" s="104" t="s">
        <v>49</v>
      </c>
      <c r="D73" s="104" t="s">
        <v>49</v>
      </c>
      <c r="E73" s="104" t="s">
        <v>49</v>
      </c>
      <c r="F73" s="104" t="s">
        <v>49</v>
      </c>
      <c r="G73" s="58"/>
      <c r="H73" s="58"/>
    </row>
    <row r="74" spans="1:8">
      <c r="A74" s="57" t="s">
        <v>164</v>
      </c>
      <c r="G74" s="61"/>
      <c r="H74" s="61"/>
    </row>
    <row r="75" spans="1:8">
      <c r="A75" s="57" t="s">
        <v>165</v>
      </c>
      <c r="G75" s="61"/>
      <c r="H75" s="61"/>
    </row>
    <row r="76" spans="1:8">
      <c r="A76" s="57" t="s">
        <v>166</v>
      </c>
      <c r="G76" s="61"/>
      <c r="H76" s="61"/>
    </row>
    <row r="77" spans="1:8">
      <c r="A77" s="57" t="s">
        <v>167</v>
      </c>
      <c r="G77" s="61"/>
      <c r="H77" s="61"/>
    </row>
    <row r="78" spans="1:8">
      <c r="A78" s="57" t="s">
        <v>168</v>
      </c>
      <c r="G78" s="61"/>
      <c r="H78" s="61"/>
    </row>
    <row r="79" spans="1:8">
      <c r="A79" s="57" t="s">
        <v>169</v>
      </c>
      <c r="B79" s="70">
        <v>803.21575700000005</v>
      </c>
      <c r="C79" s="239">
        <v>1013.390921</v>
      </c>
      <c r="D79" s="239">
        <v>1751.991039</v>
      </c>
      <c r="E79" s="239">
        <v>2294.4832070000002</v>
      </c>
      <c r="F79" s="239">
        <v>1599.2313570000001</v>
      </c>
      <c r="G79" s="61"/>
      <c r="H79" s="61"/>
    </row>
    <row r="80" spans="1:8">
      <c r="A80" s="57" t="s">
        <v>170</v>
      </c>
      <c r="G80" s="61"/>
      <c r="H80" s="61"/>
    </row>
    <row r="81" spans="1:8">
      <c r="A81" s="57" t="s">
        <v>171</v>
      </c>
      <c r="G81" s="61"/>
      <c r="H81" s="61"/>
    </row>
    <row r="82" spans="1:8">
      <c r="A82" s="57" t="s">
        <v>172</v>
      </c>
      <c r="G82" s="61"/>
      <c r="H82" s="61"/>
    </row>
    <row r="83" spans="1:8">
      <c r="A83" s="57" t="s">
        <v>173</v>
      </c>
      <c r="G83" s="61"/>
      <c r="H83" s="61"/>
    </row>
    <row r="84" spans="1:8">
      <c r="A84" s="57" t="s">
        <v>174</v>
      </c>
      <c r="G84" s="61"/>
      <c r="H84" s="61"/>
    </row>
    <row r="85" spans="1:8">
      <c r="A85" s="60" t="s">
        <v>175</v>
      </c>
      <c r="B85" s="244">
        <f t="shared" ref="B85:G85" si="4">SUM(B74:B84)</f>
        <v>803.21575700000005</v>
      </c>
      <c r="C85" s="244">
        <f t="shared" si="4"/>
        <v>1013.390921</v>
      </c>
      <c r="D85" s="244">
        <f t="shared" si="4"/>
        <v>1751.991039</v>
      </c>
      <c r="E85" s="244">
        <f t="shared" si="4"/>
        <v>2294.4832070000002</v>
      </c>
      <c r="F85" s="244">
        <f t="shared" si="4"/>
        <v>1599.2313570000001</v>
      </c>
      <c r="G85" s="244">
        <f t="shared" si="4"/>
        <v>0</v>
      </c>
      <c r="H85" s="101"/>
    </row>
    <row r="86" spans="1:8">
      <c r="A86" s="57" t="s">
        <v>176</v>
      </c>
      <c r="G86" s="70"/>
      <c r="H86" s="61"/>
    </row>
    <row r="87" spans="1:8">
      <c r="A87" s="57" t="s">
        <v>177</v>
      </c>
      <c r="C87" s="244"/>
      <c r="D87" s="244"/>
      <c r="E87" s="244"/>
      <c r="F87" s="244"/>
      <c r="G87" s="244"/>
      <c r="H87" s="101"/>
    </row>
    <row r="88" spans="1:8">
      <c r="A88" s="60" t="s">
        <v>178</v>
      </c>
      <c r="B88" s="244">
        <f t="shared" ref="B88:G88" si="5">B85+B72</f>
        <v>11628.432858999999</v>
      </c>
      <c r="C88" s="244">
        <f t="shared" si="5"/>
        <v>18470.887871999999</v>
      </c>
      <c r="D88" s="244">
        <f t="shared" si="5"/>
        <v>33043.666852000002</v>
      </c>
      <c r="E88" s="244">
        <f t="shared" si="5"/>
        <v>24599.719932000004</v>
      </c>
      <c r="F88" s="244">
        <f t="shared" si="5"/>
        <v>28510.391968</v>
      </c>
      <c r="G88" s="244">
        <f t="shared" si="5"/>
        <v>0</v>
      </c>
      <c r="H88" s="101"/>
    </row>
    <row r="89" spans="1:8">
      <c r="A89" s="60" t="s">
        <v>58</v>
      </c>
      <c r="B89" s="244"/>
      <c r="C89" s="104"/>
      <c r="D89" s="104"/>
      <c r="E89" s="104"/>
      <c r="F89" s="104"/>
      <c r="G89" s="58"/>
      <c r="H89" s="58"/>
    </row>
    <row r="90" spans="1:8">
      <c r="A90" s="57" t="s">
        <v>179</v>
      </c>
      <c r="B90" s="70">
        <v>11256.780009999999</v>
      </c>
      <c r="C90" s="239">
        <v>11256.780009999999</v>
      </c>
      <c r="D90" s="239">
        <v>13516.7454</v>
      </c>
      <c r="E90" s="239">
        <v>18022.345399999998</v>
      </c>
      <c r="F90" s="239">
        <v>18022.345399999998</v>
      </c>
      <c r="G90" s="61"/>
      <c r="H90" s="61"/>
    </row>
    <row r="91" spans="1:8">
      <c r="A91" s="57" t="s">
        <v>180</v>
      </c>
      <c r="C91" s="239"/>
      <c r="D91" s="239"/>
      <c r="E91" s="239"/>
      <c r="F91" s="239"/>
      <c r="G91" s="61"/>
      <c r="H91" s="61"/>
    </row>
    <row r="92" spans="1:8">
      <c r="A92" s="57" t="s">
        <v>181</v>
      </c>
      <c r="G92" s="61"/>
      <c r="H92" s="61"/>
    </row>
    <row r="93" spans="1:8">
      <c r="A93" s="57" t="s">
        <v>182</v>
      </c>
      <c r="B93" s="70">
        <v>40273.896007999996</v>
      </c>
      <c r="C93" s="239">
        <v>39284.247288999999</v>
      </c>
      <c r="D93" s="239">
        <v>39586.758989999995</v>
      </c>
      <c r="E93" s="239">
        <v>122245.093182</v>
      </c>
      <c r="F93" s="239">
        <v>122817.50787999999</v>
      </c>
      <c r="G93" s="61"/>
      <c r="H93" s="61"/>
    </row>
    <row r="94" spans="1:8">
      <c r="A94" s="57" t="s">
        <v>183</v>
      </c>
      <c r="B94" s="239">
        <v>-11256.78001</v>
      </c>
      <c r="C94" s="239">
        <v>-11256.78001</v>
      </c>
      <c r="D94" s="239">
        <v>0</v>
      </c>
      <c r="E94" s="239">
        <v>0</v>
      </c>
      <c r="F94" s="239">
        <v>0</v>
      </c>
      <c r="G94" s="61"/>
      <c r="H94" s="61"/>
    </row>
    <row r="95" spans="1:8">
      <c r="A95" s="57" t="s">
        <v>184</v>
      </c>
      <c r="B95" s="70">
        <v>-284.37991199999999</v>
      </c>
      <c r="C95" s="239">
        <v>-486.241737</v>
      </c>
      <c r="D95" s="239">
        <v>871.16005600000005</v>
      </c>
      <c r="E95" s="239">
        <v>862.24587499999996</v>
      </c>
      <c r="F95" s="239">
        <v>868.58409000000006</v>
      </c>
      <c r="G95" s="61"/>
      <c r="H95" s="61"/>
    </row>
    <row r="96" spans="1:8">
      <c r="A96" s="57" t="s">
        <v>185</v>
      </c>
      <c r="G96" s="61"/>
      <c r="H96" s="61"/>
    </row>
    <row r="97" spans="1:8">
      <c r="A97" s="57" t="s">
        <v>186</v>
      </c>
      <c r="B97" s="70">
        <v>607.88955399999998</v>
      </c>
      <c r="C97" s="239">
        <v>0</v>
      </c>
      <c r="D97" s="239">
        <v>1007.3026970000001</v>
      </c>
      <c r="E97" s="239">
        <v>1729.7303260000001</v>
      </c>
      <c r="F97" s="239">
        <v>1728.6352160000001</v>
      </c>
      <c r="G97" s="61"/>
      <c r="H97" s="61"/>
    </row>
    <row r="98" spans="1:8">
      <c r="A98" s="57" t="s">
        <v>187</v>
      </c>
      <c r="G98" s="61"/>
      <c r="H98" s="61"/>
    </row>
    <row r="99" spans="1:8">
      <c r="A99" s="57" t="s">
        <v>188</v>
      </c>
      <c r="B99" s="70">
        <v>-19925.752581000001</v>
      </c>
      <c r="C99" s="239">
        <v>-17039.738118000001</v>
      </c>
      <c r="D99" s="239">
        <v>-13348.463323</v>
      </c>
      <c r="E99" s="239">
        <v>-4966.2829759999995</v>
      </c>
      <c r="F99" s="239">
        <v>-11741.854721</v>
      </c>
      <c r="G99" s="61"/>
      <c r="H99" s="61"/>
    </row>
    <row r="100" spans="1:8">
      <c r="A100" s="57" t="s">
        <v>189</v>
      </c>
      <c r="G100" s="61"/>
      <c r="H100" s="61"/>
    </row>
    <row r="101" spans="1:8">
      <c r="A101" s="57" t="s">
        <v>190</v>
      </c>
      <c r="G101" s="61"/>
      <c r="H101" s="61"/>
    </row>
    <row r="102" spans="1:8">
      <c r="A102" s="57" t="s">
        <v>191</v>
      </c>
      <c r="G102" s="61"/>
      <c r="H102" s="61"/>
    </row>
    <row r="103" spans="1:8">
      <c r="A103" s="57" t="s">
        <v>192</v>
      </c>
      <c r="G103" s="61"/>
      <c r="H103" s="61"/>
    </row>
    <row r="104" spans="1:8">
      <c r="A104" s="60" t="s">
        <v>193</v>
      </c>
      <c r="B104" s="244">
        <f t="shared" ref="B104:G104" si="6">SUM(B90:B103)</f>
        <v>20671.653069</v>
      </c>
      <c r="C104" s="244">
        <f t="shared" si="6"/>
        <v>21758.267433999994</v>
      </c>
      <c r="D104" s="244">
        <f t="shared" si="6"/>
        <v>41633.503819999998</v>
      </c>
      <c r="E104" s="244">
        <f t="shared" si="6"/>
        <v>137893.131807</v>
      </c>
      <c r="F104" s="244">
        <f t="shared" si="6"/>
        <v>131695.21786499996</v>
      </c>
      <c r="G104" s="244">
        <f t="shared" si="6"/>
        <v>0</v>
      </c>
      <c r="H104" s="61"/>
    </row>
    <row r="105" spans="1:8">
      <c r="A105" s="57" t="s">
        <v>194</v>
      </c>
      <c r="C105" s="70">
        <v>0</v>
      </c>
      <c r="D105" s="70">
        <v>0</v>
      </c>
      <c r="E105" s="70">
        <v>0</v>
      </c>
      <c r="F105" s="70">
        <v>0</v>
      </c>
      <c r="G105" s="70">
        <v>0</v>
      </c>
      <c r="H105" s="61"/>
    </row>
    <row r="106" spans="1:8">
      <c r="A106" s="60" t="s">
        <v>195</v>
      </c>
      <c r="B106" s="244">
        <f t="shared" ref="B106:G106" si="7">B104+B105</f>
        <v>20671.653069</v>
      </c>
      <c r="C106" s="244">
        <f t="shared" si="7"/>
        <v>21758.267433999994</v>
      </c>
      <c r="D106" s="244">
        <f t="shared" si="7"/>
        <v>41633.503819999998</v>
      </c>
      <c r="E106" s="244">
        <f t="shared" si="7"/>
        <v>137893.131807</v>
      </c>
      <c r="F106" s="244">
        <f t="shared" si="7"/>
        <v>131695.21786499996</v>
      </c>
      <c r="G106" s="244">
        <f t="shared" si="7"/>
        <v>0</v>
      </c>
      <c r="H106" s="61"/>
    </row>
    <row r="107" spans="1:8">
      <c r="A107" s="57" t="s">
        <v>196</v>
      </c>
      <c r="G107" s="61"/>
      <c r="H107" s="61"/>
    </row>
    <row r="108" spans="1:8">
      <c r="A108" s="57" t="s">
        <v>197</v>
      </c>
      <c r="G108" s="61"/>
      <c r="H108" s="61"/>
    </row>
    <row r="109" spans="1:8">
      <c r="A109" s="57" t="s">
        <v>198</v>
      </c>
      <c r="B109" s="70">
        <f>B106+B88</f>
        <v>32300.085928</v>
      </c>
      <c r="C109" s="70">
        <f>C106+C88</f>
        <v>40229.155305999993</v>
      </c>
      <c r="D109" s="70">
        <f>D106+D88</f>
        <v>74677.170672000007</v>
      </c>
      <c r="E109" s="70">
        <f>E106+E88</f>
        <v>162492.85173900001</v>
      </c>
      <c r="F109" s="70">
        <f>F106+F88</f>
        <v>160205.60983299997</v>
      </c>
      <c r="G109" s="61"/>
      <c r="H109" s="61"/>
    </row>
    <row r="110" spans="1:8">
      <c r="C110" s="104"/>
      <c r="D110" s="104"/>
      <c r="E110" s="104"/>
      <c r="F110" s="104"/>
      <c r="G110" s="58"/>
      <c r="H110" s="58"/>
    </row>
    <row r="111" spans="1:8" ht="12.75" customHeight="1">
      <c r="A111" s="57" t="s">
        <v>741</v>
      </c>
      <c r="C111" s="104"/>
      <c r="D111" s="104"/>
      <c r="E111" s="104"/>
      <c r="F111" s="104"/>
      <c r="G111" s="251">
        <f>G49-G88</f>
        <v>70928.504163999998</v>
      </c>
      <c r="H111" s="58"/>
    </row>
    <row r="112" spans="1:8">
      <c r="A112" s="57" t="s">
        <v>746</v>
      </c>
      <c r="C112" s="104"/>
      <c r="D112" s="104"/>
      <c r="E112" s="104"/>
      <c r="F112" s="104"/>
      <c r="G112" s="58"/>
      <c r="H112" s="58"/>
    </row>
    <row r="113" spans="1:8">
      <c r="C113" s="104"/>
      <c r="D113" s="104"/>
      <c r="E113" s="104"/>
      <c r="F113" s="104"/>
      <c r="G113" s="58"/>
      <c r="H113" s="58"/>
    </row>
    <row r="114" spans="1:8">
      <c r="C114" s="104"/>
      <c r="D114" s="104"/>
      <c r="E114" s="104"/>
      <c r="F114" s="104"/>
      <c r="G114" s="58"/>
      <c r="H114" s="58"/>
    </row>
    <row r="115" spans="1:8">
      <c r="C115" s="104"/>
      <c r="D115" s="104"/>
      <c r="E115" s="104"/>
      <c r="F115" s="104"/>
      <c r="G115" s="58"/>
      <c r="H115" s="58"/>
    </row>
    <row r="116" spans="1:8">
      <c r="C116" s="104"/>
      <c r="D116" s="104"/>
      <c r="E116" s="104"/>
      <c r="F116" s="104"/>
      <c r="G116" s="58"/>
      <c r="H116" s="58"/>
    </row>
    <row r="117" spans="1:8">
      <c r="C117" s="104"/>
      <c r="D117" s="104"/>
      <c r="E117" s="104"/>
      <c r="F117" s="104"/>
      <c r="G117" s="58"/>
      <c r="H117" s="58"/>
    </row>
    <row r="121" spans="1:8">
      <c r="A121" s="57" t="s">
        <v>199</v>
      </c>
    </row>
  </sheetData>
  <phoneticPr fontId="2" type="noConversion"/>
  <conditionalFormatting sqref="A55:B55">
    <cfRule type="cellIs" dxfId="248" priority="29" stopIfTrue="1" operator="lessThan">
      <formula>0</formula>
    </cfRule>
  </conditionalFormatting>
  <conditionalFormatting sqref="C5:F5">
    <cfRule type="cellIs" dxfId="247" priority="28" stopIfTrue="1" operator="lessThan">
      <formula>0</formula>
    </cfRule>
  </conditionalFormatting>
  <conditionalFormatting sqref="C8:F8">
    <cfRule type="cellIs" dxfId="246" priority="27" stopIfTrue="1" operator="lessThan">
      <formula>0</formula>
    </cfRule>
  </conditionalFormatting>
  <conditionalFormatting sqref="C9:F9">
    <cfRule type="cellIs" dxfId="245" priority="26" stopIfTrue="1" operator="lessThan">
      <formula>0</formula>
    </cfRule>
  </conditionalFormatting>
  <conditionalFormatting sqref="C10:F10">
    <cfRule type="cellIs" dxfId="244" priority="25" stopIfTrue="1" operator="lessThan">
      <formula>0</formula>
    </cfRule>
  </conditionalFormatting>
  <conditionalFormatting sqref="C12:F12">
    <cfRule type="cellIs" dxfId="243" priority="24" stopIfTrue="1" operator="lessThan">
      <formula>0</formula>
    </cfRule>
  </conditionalFormatting>
  <conditionalFormatting sqref="C15:F15">
    <cfRule type="cellIs" dxfId="242" priority="23" stopIfTrue="1" operator="lessThan">
      <formula>0</formula>
    </cfRule>
  </conditionalFormatting>
  <conditionalFormatting sqref="C20:F20">
    <cfRule type="cellIs" dxfId="241" priority="22" stopIfTrue="1" operator="lessThan">
      <formula>0</formula>
    </cfRule>
  </conditionalFormatting>
  <conditionalFormatting sqref="C30:F30">
    <cfRule type="cellIs" dxfId="240" priority="21" stopIfTrue="1" operator="lessThan">
      <formula>0</formula>
    </cfRule>
  </conditionalFormatting>
  <conditionalFormatting sqref="C32:F32">
    <cfRule type="cellIs" dxfId="239" priority="20" stopIfTrue="1" operator="lessThan">
      <formula>0</formula>
    </cfRule>
  </conditionalFormatting>
  <conditionalFormatting sqref="C38:F38">
    <cfRule type="cellIs" dxfId="238" priority="19" stopIfTrue="1" operator="lessThan">
      <formula>0</formula>
    </cfRule>
  </conditionalFormatting>
  <conditionalFormatting sqref="C41:F41">
    <cfRule type="cellIs" dxfId="237" priority="18" stopIfTrue="1" operator="lessThan">
      <formula>0</formula>
    </cfRule>
  </conditionalFormatting>
  <conditionalFormatting sqref="C99:F99">
    <cfRule type="cellIs" dxfId="236" priority="2" stopIfTrue="1" operator="lessThan">
      <formula>0</formula>
    </cfRule>
  </conditionalFormatting>
  <conditionalFormatting sqref="C42:F42">
    <cfRule type="cellIs" dxfId="235" priority="17" stopIfTrue="1" operator="lessThan">
      <formula>0</formula>
    </cfRule>
  </conditionalFormatting>
  <conditionalFormatting sqref="C55:F55">
    <cfRule type="cellIs" dxfId="234" priority="16" stopIfTrue="1" operator="lessThan">
      <formula>0</formula>
    </cfRule>
  </conditionalFormatting>
  <conditionalFormatting sqref="C58:F60">
    <cfRule type="cellIs" dxfId="233" priority="15" stopIfTrue="1" operator="lessThan">
      <formula>0</formula>
    </cfRule>
  </conditionalFormatting>
  <conditionalFormatting sqref="C62:F62">
    <cfRule type="cellIs" dxfId="232" priority="14" stopIfTrue="1" operator="lessThan">
      <formula>0</formula>
    </cfRule>
  </conditionalFormatting>
  <conditionalFormatting sqref="C68:F68">
    <cfRule type="cellIs" dxfId="231" priority="13" stopIfTrue="1" operator="lessThan">
      <formula>0</formula>
    </cfRule>
  </conditionalFormatting>
  <conditionalFormatting sqref="C56:F56">
    <cfRule type="cellIs" dxfId="230" priority="12" stopIfTrue="1" operator="lessThan">
      <formula>0</formula>
    </cfRule>
  </conditionalFormatting>
  <conditionalFormatting sqref="A57:B57">
    <cfRule type="cellIs" dxfId="229" priority="11" stopIfTrue="1" operator="lessThan">
      <formula>0</formula>
    </cfRule>
  </conditionalFormatting>
  <conditionalFormatting sqref="C57:F57">
    <cfRule type="cellIs" dxfId="228" priority="10" stopIfTrue="1" operator="lessThan">
      <formula>0</formula>
    </cfRule>
  </conditionalFormatting>
  <conditionalFormatting sqref="C51:F51">
    <cfRule type="cellIs" dxfId="227" priority="9" stopIfTrue="1" operator="lessThan">
      <formula>0</formula>
    </cfRule>
  </conditionalFormatting>
  <conditionalFormatting sqref="C79:F79">
    <cfRule type="cellIs" dxfId="226" priority="8" stopIfTrue="1" operator="lessThan">
      <formula>0</formula>
    </cfRule>
  </conditionalFormatting>
  <conditionalFormatting sqref="C90:F91">
    <cfRule type="cellIs" dxfId="225" priority="7" stopIfTrue="1" operator="lessThan">
      <formula>0</formula>
    </cfRule>
  </conditionalFormatting>
  <conditionalFormatting sqref="C93:F93">
    <cfRule type="cellIs" dxfId="224" priority="6" stopIfTrue="1" operator="lessThan">
      <formula>0</formula>
    </cfRule>
  </conditionalFormatting>
  <conditionalFormatting sqref="C94:F94">
    <cfRule type="cellIs" dxfId="223" priority="5" stopIfTrue="1" operator="lessThan">
      <formula>0</formula>
    </cfRule>
  </conditionalFormatting>
  <conditionalFormatting sqref="C95:F95">
    <cfRule type="cellIs" dxfId="222" priority="4" stopIfTrue="1" operator="lessThan">
      <formula>0</formula>
    </cfRule>
  </conditionalFormatting>
  <conditionalFormatting sqref="C97:F97">
    <cfRule type="cellIs" dxfId="221" priority="3" stopIfTrue="1" operator="lessThan">
      <formula>0</formula>
    </cfRule>
  </conditionalFormatting>
  <conditionalFormatting sqref="B94">
    <cfRule type="cellIs" dxfId="220" priority="1" stopIfTrue="1" operator="lessThan">
      <formula>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2"/>
  <sheetViews>
    <sheetView workbookViewId="0">
      <selection activeCell="K3" sqref="K3"/>
    </sheetView>
  </sheetViews>
  <sheetFormatPr defaultRowHeight="13"/>
  <cols>
    <col min="1" max="1" width="23.453125" style="57" customWidth="1"/>
    <col min="2" max="2" width="16.6328125" style="70" customWidth="1"/>
    <col min="3" max="7" width="14.7265625" style="57" customWidth="1"/>
    <col min="8" max="8" width="9" style="57"/>
    <col min="9" max="9" width="21.6328125" style="57" bestFit="1" customWidth="1"/>
    <col min="10" max="13" width="9" style="57"/>
    <col min="14" max="14" width="13.453125" style="57" bestFit="1" customWidth="1"/>
    <col min="15" max="257" width="9" style="57"/>
    <col min="258" max="258" width="46.36328125" style="57" bestFit="1" customWidth="1"/>
    <col min="259" max="259" width="15.08984375" style="57" bestFit="1" customWidth="1"/>
    <col min="260" max="262" width="16.08984375" style="57" bestFit="1" customWidth="1"/>
    <col min="263" max="263" width="15" style="57" bestFit="1" customWidth="1"/>
    <col min="264" max="513" width="9" style="57"/>
    <col min="514" max="514" width="46.36328125" style="57" bestFit="1" customWidth="1"/>
    <col min="515" max="515" width="15.08984375" style="57" bestFit="1" customWidth="1"/>
    <col min="516" max="518" width="16.08984375" style="57" bestFit="1" customWidth="1"/>
    <col min="519" max="519" width="15" style="57" bestFit="1" customWidth="1"/>
    <col min="520" max="769" width="9" style="57"/>
    <col min="770" max="770" width="46.36328125" style="57" bestFit="1" customWidth="1"/>
    <col min="771" max="771" width="15.08984375" style="57" bestFit="1" customWidth="1"/>
    <col min="772" max="774" width="16.08984375" style="57" bestFit="1" customWidth="1"/>
    <col min="775" max="775" width="15" style="57" bestFit="1" customWidth="1"/>
    <col min="776" max="1025" width="9" style="57"/>
    <col min="1026" max="1026" width="46.36328125" style="57" bestFit="1" customWidth="1"/>
    <col min="1027" max="1027" width="15.08984375" style="57" bestFit="1" customWidth="1"/>
    <col min="1028" max="1030" width="16.08984375" style="57" bestFit="1" customWidth="1"/>
    <col min="1031" max="1031" width="15" style="57" bestFit="1" customWidth="1"/>
    <col min="1032" max="1281" width="9" style="57"/>
    <col min="1282" max="1282" width="46.36328125" style="57" bestFit="1" customWidth="1"/>
    <col min="1283" max="1283" width="15.08984375" style="57" bestFit="1" customWidth="1"/>
    <col min="1284" max="1286" width="16.08984375" style="57" bestFit="1" customWidth="1"/>
    <col min="1287" max="1287" width="15" style="57" bestFit="1" customWidth="1"/>
    <col min="1288" max="1537" width="9" style="57"/>
    <col min="1538" max="1538" width="46.36328125" style="57" bestFit="1" customWidth="1"/>
    <col min="1539" max="1539" width="15.08984375" style="57" bestFit="1" customWidth="1"/>
    <col min="1540" max="1542" width="16.08984375" style="57" bestFit="1" customWidth="1"/>
    <col min="1543" max="1543" width="15" style="57" bestFit="1" customWidth="1"/>
    <col min="1544" max="1793" width="9" style="57"/>
    <col min="1794" max="1794" width="46.36328125" style="57" bestFit="1" customWidth="1"/>
    <col min="1795" max="1795" width="15.08984375" style="57" bestFit="1" customWidth="1"/>
    <col min="1796" max="1798" width="16.08984375" style="57" bestFit="1" customWidth="1"/>
    <col min="1799" max="1799" width="15" style="57" bestFit="1" customWidth="1"/>
    <col min="1800" max="2049" width="9" style="57"/>
    <col min="2050" max="2050" width="46.36328125" style="57" bestFit="1" customWidth="1"/>
    <col min="2051" max="2051" width="15.08984375" style="57" bestFit="1" customWidth="1"/>
    <col min="2052" max="2054" width="16.08984375" style="57" bestFit="1" customWidth="1"/>
    <col min="2055" max="2055" width="15" style="57" bestFit="1" customWidth="1"/>
    <col min="2056" max="2305" width="9" style="57"/>
    <col min="2306" max="2306" width="46.36328125" style="57" bestFit="1" customWidth="1"/>
    <col min="2307" max="2307" width="15.08984375" style="57" bestFit="1" customWidth="1"/>
    <col min="2308" max="2310" width="16.08984375" style="57" bestFit="1" customWidth="1"/>
    <col min="2311" max="2311" width="15" style="57" bestFit="1" customWidth="1"/>
    <col min="2312" max="2561" width="9" style="57"/>
    <col min="2562" max="2562" width="46.36328125" style="57" bestFit="1" customWidth="1"/>
    <col min="2563" max="2563" width="15.08984375" style="57" bestFit="1" customWidth="1"/>
    <col min="2564" max="2566" width="16.08984375" style="57" bestFit="1" customWidth="1"/>
    <col min="2567" max="2567" width="15" style="57" bestFit="1" customWidth="1"/>
    <col min="2568" max="2817" width="9" style="57"/>
    <col min="2818" max="2818" width="46.36328125" style="57" bestFit="1" customWidth="1"/>
    <col min="2819" max="2819" width="15.08984375" style="57" bestFit="1" customWidth="1"/>
    <col min="2820" max="2822" width="16.08984375" style="57" bestFit="1" customWidth="1"/>
    <col min="2823" max="2823" width="15" style="57" bestFit="1" customWidth="1"/>
    <col min="2824" max="3073" width="9" style="57"/>
    <col min="3074" max="3074" width="46.36328125" style="57" bestFit="1" customWidth="1"/>
    <col min="3075" max="3075" width="15.08984375" style="57" bestFit="1" customWidth="1"/>
    <col min="3076" max="3078" width="16.08984375" style="57" bestFit="1" customWidth="1"/>
    <col min="3079" max="3079" width="15" style="57" bestFit="1" customWidth="1"/>
    <col min="3080" max="3329" width="9" style="57"/>
    <col min="3330" max="3330" width="46.36328125" style="57" bestFit="1" customWidth="1"/>
    <col min="3331" max="3331" width="15.08984375" style="57" bestFit="1" customWidth="1"/>
    <col min="3332" max="3334" width="16.08984375" style="57" bestFit="1" customWidth="1"/>
    <col min="3335" max="3335" width="15" style="57" bestFit="1" customWidth="1"/>
    <col min="3336" max="3585" width="9" style="57"/>
    <col min="3586" max="3586" width="46.36328125" style="57" bestFit="1" customWidth="1"/>
    <col min="3587" max="3587" width="15.08984375" style="57" bestFit="1" customWidth="1"/>
    <col min="3588" max="3590" width="16.08984375" style="57" bestFit="1" customWidth="1"/>
    <col min="3591" max="3591" width="15" style="57" bestFit="1" customWidth="1"/>
    <col min="3592" max="3841" width="9" style="57"/>
    <col min="3842" max="3842" width="46.36328125" style="57" bestFit="1" customWidth="1"/>
    <col min="3843" max="3843" width="15.08984375" style="57" bestFit="1" customWidth="1"/>
    <col min="3844" max="3846" width="16.08984375" style="57" bestFit="1" customWidth="1"/>
    <col min="3847" max="3847" width="15" style="57" bestFit="1" customWidth="1"/>
    <col min="3848" max="4097" width="9" style="57"/>
    <col min="4098" max="4098" width="46.36328125" style="57" bestFit="1" customWidth="1"/>
    <col min="4099" max="4099" width="15.08984375" style="57" bestFit="1" customWidth="1"/>
    <col min="4100" max="4102" width="16.08984375" style="57" bestFit="1" customWidth="1"/>
    <col min="4103" max="4103" width="15" style="57" bestFit="1" customWidth="1"/>
    <col min="4104" max="4353" width="9" style="57"/>
    <col min="4354" max="4354" width="46.36328125" style="57" bestFit="1" customWidth="1"/>
    <col min="4355" max="4355" width="15.08984375" style="57" bestFit="1" customWidth="1"/>
    <col min="4356" max="4358" width="16.08984375" style="57" bestFit="1" customWidth="1"/>
    <col min="4359" max="4359" width="15" style="57" bestFit="1" customWidth="1"/>
    <col min="4360" max="4609" width="9" style="57"/>
    <col min="4610" max="4610" width="46.36328125" style="57" bestFit="1" customWidth="1"/>
    <col min="4611" max="4611" width="15.08984375" style="57" bestFit="1" customWidth="1"/>
    <col min="4612" max="4614" width="16.08984375" style="57" bestFit="1" customWidth="1"/>
    <col min="4615" max="4615" width="15" style="57" bestFit="1" customWidth="1"/>
    <col min="4616" max="4865" width="9" style="57"/>
    <col min="4866" max="4866" width="46.36328125" style="57" bestFit="1" customWidth="1"/>
    <col min="4867" max="4867" width="15.08984375" style="57" bestFit="1" customWidth="1"/>
    <col min="4868" max="4870" width="16.08984375" style="57" bestFit="1" customWidth="1"/>
    <col min="4871" max="4871" width="15" style="57" bestFit="1" customWidth="1"/>
    <col min="4872" max="5121" width="9" style="57"/>
    <col min="5122" max="5122" width="46.36328125" style="57" bestFit="1" customWidth="1"/>
    <col min="5123" max="5123" width="15.08984375" style="57" bestFit="1" customWidth="1"/>
    <col min="5124" max="5126" width="16.08984375" style="57" bestFit="1" customWidth="1"/>
    <col min="5127" max="5127" width="15" style="57" bestFit="1" customWidth="1"/>
    <col min="5128" max="5377" width="9" style="57"/>
    <col min="5378" max="5378" width="46.36328125" style="57" bestFit="1" customWidth="1"/>
    <col min="5379" max="5379" width="15.08984375" style="57" bestFit="1" customWidth="1"/>
    <col min="5380" max="5382" width="16.08984375" style="57" bestFit="1" customWidth="1"/>
    <col min="5383" max="5383" width="15" style="57" bestFit="1" customWidth="1"/>
    <col min="5384" max="5633" width="9" style="57"/>
    <col min="5634" max="5634" width="46.36328125" style="57" bestFit="1" customWidth="1"/>
    <col min="5635" max="5635" width="15.08984375" style="57" bestFit="1" customWidth="1"/>
    <col min="5636" max="5638" width="16.08984375" style="57" bestFit="1" customWidth="1"/>
    <col min="5639" max="5639" width="15" style="57" bestFit="1" customWidth="1"/>
    <col min="5640" max="5889" width="9" style="57"/>
    <col min="5890" max="5890" width="46.36328125" style="57" bestFit="1" customWidth="1"/>
    <col min="5891" max="5891" width="15.08984375" style="57" bestFit="1" customWidth="1"/>
    <col min="5892" max="5894" width="16.08984375" style="57" bestFit="1" customWidth="1"/>
    <col min="5895" max="5895" width="15" style="57" bestFit="1" customWidth="1"/>
    <col min="5896" max="6145" width="9" style="57"/>
    <col min="6146" max="6146" width="46.36328125" style="57" bestFit="1" customWidth="1"/>
    <col min="6147" max="6147" width="15.08984375" style="57" bestFit="1" customWidth="1"/>
    <col min="6148" max="6150" width="16.08984375" style="57" bestFit="1" customWidth="1"/>
    <col min="6151" max="6151" width="15" style="57" bestFit="1" customWidth="1"/>
    <col min="6152" max="6401" width="9" style="57"/>
    <col min="6402" max="6402" width="46.36328125" style="57" bestFit="1" customWidth="1"/>
    <col min="6403" max="6403" width="15.08984375" style="57" bestFit="1" customWidth="1"/>
    <col min="6404" max="6406" width="16.08984375" style="57" bestFit="1" customWidth="1"/>
    <col min="6407" max="6407" width="15" style="57" bestFit="1" customWidth="1"/>
    <col min="6408" max="6657" width="9" style="57"/>
    <col min="6658" max="6658" width="46.36328125" style="57" bestFit="1" customWidth="1"/>
    <col min="6659" max="6659" width="15.08984375" style="57" bestFit="1" customWidth="1"/>
    <col min="6660" max="6662" width="16.08984375" style="57" bestFit="1" customWidth="1"/>
    <col min="6663" max="6663" width="15" style="57" bestFit="1" customWidth="1"/>
    <col min="6664" max="6913" width="9" style="57"/>
    <col min="6914" max="6914" width="46.36328125" style="57" bestFit="1" customWidth="1"/>
    <col min="6915" max="6915" width="15.08984375" style="57" bestFit="1" customWidth="1"/>
    <col min="6916" max="6918" width="16.08984375" style="57" bestFit="1" customWidth="1"/>
    <col min="6919" max="6919" width="15" style="57" bestFit="1" customWidth="1"/>
    <col min="6920" max="7169" width="9" style="57"/>
    <col min="7170" max="7170" width="46.36328125" style="57" bestFit="1" customWidth="1"/>
    <col min="7171" max="7171" width="15.08984375" style="57" bestFit="1" customWidth="1"/>
    <col min="7172" max="7174" width="16.08984375" style="57" bestFit="1" customWidth="1"/>
    <col min="7175" max="7175" width="15" style="57" bestFit="1" customWidth="1"/>
    <col min="7176" max="7425" width="9" style="57"/>
    <col min="7426" max="7426" width="46.36328125" style="57" bestFit="1" customWidth="1"/>
    <col min="7427" max="7427" width="15.08984375" style="57" bestFit="1" customWidth="1"/>
    <col min="7428" max="7430" width="16.08984375" style="57" bestFit="1" customWidth="1"/>
    <col min="7431" max="7431" width="15" style="57" bestFit="1" customWidth="1"/>
    <col min="7432" max="7681" width="9" style="57"/>
    <col min="7682" max="7682" width="46.36328125" style="57" bestFit="1" customWidth="1"/>
    <col min="7683" max="7683" width="15.08984375" style="57" bestFit="1" customWidth="1"/>
    <col min="7684" max="7686" width="16.08984375" style="57" bestFit="1" customWidth="1"/>
    <col min="7687" max="7687" width="15" style="57" bestFit="1" customWidth="1"/>
    <col min="7688" max="7937" width="9" style="57"/>
    <col min="7938" max="7938" width="46.36328125" style="57" bestFit="1" customWidth="1"/>
    <col min="7939" max="7939" width="15.08984375" style="57" bestFit="1" customWidth="1"/>
    <col min="7940" max="7942" width="16.08984375" style="57" bestFit="1" customWidth="1"/>
    <col min="7943" max="7943" width="15" style="57" bestFit="1" customWidth="1"/>
    <col min="7944" max="8193" width="9" style="57"/>
    <col min="8194" max="8194" width="46.36328125" style="57" bestFit="1" customWidth="1"/>
    <col min="8195" max="8195" width="15.08984375" style="57" bestFit="1" customWidth="1"/>
    <col min="8196" max="8198" width="16.08984375" style="57" bestFit="1" customWidth="1"/>
    <col min="8199" max="8199" width="15" style="57" bestFit="1" customWidth="1"/>
    <col min="8200" max="8449" width="9" style="57"/>
    <col min="8450" max="8450" width="46.36328125" style="57" bestFit="1" customWidth="1"/>
    <col min="8451" max="8451" width="15.08984375" style="57" bestFit="1" customWidth="1"/>
    <col min="8452" max="8454" width="16.08984375" style="57" bestFit="1" customWidth="1"/>
    <col min="8455" max="8455" width="15" style="57" bestFit="1" customWidth="1"/>
    <col min="8456" max="8705" width="9" style="57"/>
    <col min="8706" max="8706" width="46.36328125" style="57" bestFit="1" customWidth="1"/>
    <col min="8707" max="8707" width="15.08984375" style="57" bestFit="1" customWidth="1"/>
    <col min="8708" max="8710" width="16.08984375" style="57" bestFit="1" customWidth="1"/>
    <col min="8711" max="8711" width="15" style="57" bestFit="1" customWidth="1"/>
    <col min="8712" max="8961" width="9" style="57"/>
    <col min="8962" max="8962" width="46.36328125" style="57" bestFit="1" customWidth="1"/>
    <col min="8963" max="8963" width="15.08984375" style="57" bestFit="1" customWidth="1"/>
    <col min="8964" max="8966" width="16.08984375" style="57" bestFit="1" customWidth="1"/>
    <col min="8967" max="8967" width="15" style="57" bestFit="1" customWidth="1"/>
    <col min="8968" max="9217" width="9" style="57"/>
    <col min="9218" max="9218" width="46.36328125" style="57" bestFit="1" customWidth="1"/>
    <col min="9219" max="9219" width="15.08984375" style="57" bestFit="1" customWidth="1"/>
    <col min="9220" max="9222" width="16.08984375" style="57" bestFit="1" customWidth="1"/>
    <col min="9223" max="9223" width="15" style="57" bestFit="1" customWidth="1"/>
    <col min="9224" max="9473" width="9" style="57"/>
    <col min="9474" max="9474" width="46.36328125" style="57" bestFit="1" customWidth="1"/>
    <col min="9475" max="9475" width="15.08984375" style="57" bestFit="1" customWidth="1"/>
    <col min="9476" max="9478" width="16.08984375" style="57" bestFit="1" customWidth="1"/>
    <col min="9479" max="9479" width="15" style="57" bestFit="1" customWidth="1"/>
    <col min="9480" max="9729" width="9" style="57"/>
    <col min="9730" max="9730" width="46.36328125" style="57" bestFit="1" customWidth="1"/>
    <col min="9731" max="9731" width="15.08984375" style="57" bestFit="1" customWidth="1"/>
    <col min="9732" max="9734" width="16.08984375" style="57" bestFit="1" customWidth="1"/>
    <col min="9735" max="9735" width="15" style="57" bestFit="1" customWidth="1"/>
    <col min="9736" max="9985" width="9" style="57"/>
    <col min="9986" max="9986" width="46.36328125" style="57" bestFit="1" customWidth="1"/>
    <col min="9987" max="9987" width="15.08984375" style="57" bestFit="1" customWidth="1"/>
    <col min="9988" max="9990" width="16.08984375" style="57" bestFit="1" customWidth="1"/>
    <col min="9991" max="9991" width="15" style="57" bestFit="1" customWidth="1"/>
    <col min="9992" max="10241" width="9" style="57"/>
    <col min="10242" max="10242" width="46.36328125" style="57" bestFit="1" customWidth="1"/>
    <col min="10243" max="10243" width="15.08984375" style="57" bestFit="1" customWidth="1"/>
    <col min="10244" max="10246" width="16.08984375" style="57" bestFit="1" customWidth="1"/>
    <col min="10247" max="10247" width="15" style="57" bestFit="1" customWidth="1"/>
    <col min="10248" max="10497" width="9" style="57"/>
    <col min="10498" max="10498" width="46.36328125" style="57" bestFit="1" customWidth="1"/>
    <col min="10499" max="10499" width="15.08984375" style="57" bestFit="1" customWidth="1"/>
    <col min="10500" max="10502" width="16.08984375" style="57" bestFit="1" customWidth="1"/>
    <col min="10503" max="10503" width="15" style="57" bestFit="1" customWidth="1"/>
    <col min="10504" max="10753" width="9" style="57"/>
    <col min="10754" max="10754" width="46.36328125" style="57" bestFit="1" customWidth="1"/>
    <col min="10755" max="10755" width="15.08984375" style="57" bestFit="1" customWidth="1"/>
    <col min="10756" max="10758" width="16.08984375" style="57" bestFit="1" customWidth="1"/>
    <col min="10759" max="10759" width="15" style="57" bestFit="1" customWidth="1"/>
    <col min="10760" max="11009" width="9" style="57"/>
    <col min="11010" max="11010" width="46.36328125" style="57" bestFit="1" customWidth="1"/>
    <col min="11011" max="11011" width="15.08984375" style="57" bestFit="1" customWidth="1"/>
    <col min="11012" max="11014" width="16.08984375" style="57" bestFit="1" customWidth="1"/>
    <col min="11015" max="11015" width="15" style="57" bestFit="1" customWidth="1"/>
    <col min="11016" max="11265" width="9" style="57"/>
    <col min="11266" max="11266" width="46.36328125" style="57" bestFit="1" customWidth="1"/>
    <col min="11267" max="11267" width="15.08984375" style="57" bestFit="1" customWidth="1"/>
    <col min="11268" max="11270" width="16.08984375" style="57" bestFit="1" customWidth="1"/>
    <col min="11271" max="11271" width="15" style="57" bestFit="1" customWidth="1"/>
    <col min="11272" max="11521" width="9" style="57"/>
    <col min="11522" max="11522" width="46.36328125" style="57" bestFit="1" customWidth="1"/>
    <col min="11523" max="11523" width="15.08984375" style="57" bestFit="1" customWidth="1"/>
    <col min="11524" max="11526" width="16.08984375" style="57" bestFit="1" customWidth="1"/>
    <col min="11527" max="11527" width="15" style="57" bestFit="1" customWidth="1"/>
    <col min="11528" max="11777" width="9" style="57"/>
    <col min="11778" max="11778" width="46.36328125" style="57" bestFit="1" customWidth="1"/>
    <col min="11779" max="11779" width="15.08984375" style="57" bestFit="1" customWidth="1"/>
    <col min="11780" max="11782" width="16.08984375" style="57" bestFit="1" customWidth="1"/>
    <col min="11783" max="11783" width="15" style="57" bestFit="1" customWidth="1"/>
    <col min="11784" max="12033" width="9" style="57"/>
    <col min="12034" max="12034" width="46.36328125" style="57" bestFit="1" customWidth="1"/>
    <col min="12035" max="12035" width="15.08984375" style="57" bestFit="1" customWidth="1"/>
    <col min="12036" max="12038" width="16.08984375" style="57" bestFit="1" customWidth="1"/>
    <col min="12039" max="12039" width="15" style="57" bestFit="1" customWidth="1"/>
    <col min="12040" max="12289" width="9" style="57"/>
    <col min="12290" max="12290" width="46.36328125" style="57" bestFit="1" customWidth="1"/>
    <col min="12291" max="12291" width="15.08984375" style="57" bestFit="1" customWidth="1"/>
    <col min="12292" max="12294" width="16.08984375" style="57" bestFit="1" customWidth="1"/>
    <col min="12295" max="12295" width="15" style="57" bestFit="1" customWidth="1"/>
    <col min="12296" max="12545" width="9" style="57"/>
    <col min="12546" max="12546" width="46.36328125" style="57" bestFit="1" customWidth="1"/>
    <col min="12547" max="12547" width="15.08984375" style="57" bestFit="1" customWidth="1"/>
    <col min="12548" max="12550" width="16.08984375" style="57" bestFit="1" customWidth="1"/>
    <col min="12551" max="12551" width="15" style="57" bestFit="1" customWidth="1"/>
    <col min="12552" max="12801" width="9" style="57"/>
    <col min="12802" max="12802" width="46.36328125" style="57" bestFit="1" customWidth="1"/>
    <col min="12803" max="12803" width="15.08984375" style="57" bestFit="1" customWidth="1"/>
    <col min="12804" max="12806" width="16.08984375" style="57" bestFit="1" customWidth="1"/>
    <col min="12807" max="12807" width="15" style="57" bestFit="1" customWidth="1"/>
    <col min="12808" max="13057" width="9" style="57"/>
    <col min="13058" max="13058" width="46.36328125" style="57" bestFit="1" customWidth="1"/>
    <col min="13059" max="13059" width="15.08984375" style="57" bestFit="1" customWidth="1"/>
    <col min="13060" max="13062" width="16.08984375" style="57" bestFit="1" customWidth="1"/>
    <col min="13063" max="13063" width="15" style="57" bestFit="1" customWidth="1"/>
    <col min="13064" max="13313" width="9" style="57"/>
    <col min="13314" max="13314" width="46.36328125" style="57" bestFit="1" customWidth="1"/>
    <col min="13315" max="13315" width="15.08984375" style="57" bestFit="1" customWidth="1"/>
    <col min="13316" max="13318" width="16.08984375" style="57" bestFit="1" customWidth="1"/>
    <col min="13319" max="13319" width="15" style="57" bestFit="1" customWidth="1"/>
    <col min="13320" max="13569" width="9" style="57"/>
    <col min="13570" max="13570" width="46.36328125" style="57" bestFit="1" customWidth="1"/>
    <col min="13571" max="13571" width="15.08984375" style="57" bestFit="1" customWidth="1"/>
    <col min="13572" max="13574" width="16.08984375" style="57" bestFit="1" customWidth="1"/>
    <col min="13575" max="13575" width="15" style="57" bestFit="1" customWidth="1"/>
    <col min="13576" max="13825" width="9" style="57"/>
    <col min="13826" max="13826" width="46.36328125" style="57" bestFit="1" customWidth="1"/>
    <col min="13827" max="13827" width="15.08984375" style="57" bestFit="1" customWidth="1"/>
    <col min="13828" max="13830" width="16.08984375" style="57" bestFit="1" customWidth="1"/>
    <col min="13831" max="13831" width="15" style="57" bestFit="1" customWidth="1"/>
    <col min="13832" max="14081" width="9" style="57"/>
    <col min="14082" max="14082" width="46.36328125" style="57" bestFit="1" customWidth="1"/>
    <col min="14083" max="14083" width="15.08984375" style="57" bestFit="1" customWidth="1"/>
    <col min="14084" max="14086" width="16.08984375" style="57" bestFit="1" customWidth="1"/>
    <col min="14087" max="14087" width="15" style="57" bestFit="1" customWidth="1"/>
    <col min="14088" max="14337" width="9" style="57"/>
    <col min="14338" max="14338" width="46.36328125" style="57" bestFit="1" customWidth="1"/>
    <col min="14339" max="14339" width="15.08984375" style="57" bestFit="1" customWidth="1"/>
    <col min="14340" max="14342" width="16.08984375" style="57" bestFit="1" customWidth="1"/>
    <col min="14343" max="14343" width="15" style="57" bestFit="1" customWidth="1"/>
    <col min="14344" max="14593" width="9" style="57"/>
    <col min="14594" max="14594" width="46.36328125" style="57" bestFit="1" customWidth="1"/>
    <col min="14595" max="14595" width="15.08984375" style="57" bestFit="1" customWidth="1"/>
    <col min="14596" max="14598" width="16.08984375" style="57" bestFit="1" customWidth="1"/>
    <col min="14599" max="14599" width="15" style="57" bestFit="1" customWidth="1"/>
    <col min="14600" max="14849" width="9" style="57"/>
    <col min="14850" max="14850" width="46.36328125" style="57" bestFit="1" customWidth="1"/>
    <col min="14851" max="14851" width="15.08984375" style="57" bestFit="1" customWidth="1"/>
    <col min="14852" max="14854" width="16.08984375" style="57" bestFit="1" customWidth="1"/>
    <col min="14855" max="14855" width="15" style="57" bestFit="1" customWidth="1"/>
    <col min="14856" max="15105" width="9" style="57"/>
    <col min="15106" max="15106" width="46.36328125" style="57" bestFit="1" customWidth="1"/>
    <col min="15107" max="15107" width="15.08984375" style="57" bestFit="1" customWidth="1"/>
    <col min="15108" max="15110" width="16.08984375" style="57" bestFit="1" customWidth="1"/>
    <col min="15111" max="15111" width="15" style="57" bestFit="1" customWidth="1"/>
    <col min="15112" max="15361" width="9" style="57"/>
    <col min="15362" max="15362" width="46.36328125" style="57" bestFit="1" customWidth="1"/>
    <col min="15363" max="15363" width="15.08984375" style="57" bestFit="1" customWidth="1"/>
    <col min="15364" max="15366" width="16.08984375" style="57" bestFit="1" customWidth="1"/>
    <col min="15367" max="15367" width="15" style="57" bestFit="1" customWidth="1"/>
    <col min="15368" max="15617" width="9" style="57"/>
    <col min="15618" max="15618" width="46.36328125" style="57" bestFit="1" customWidth="1"/>
    <col min="15619" max="15619" width="15.08984375" style="57" bestFit="1" customWidth="1"/>
    <col min="15620" max="15622" width="16.08984375" style="57" bestFit="1" customWidth="1"/>
    <col min="15623" max="15623" width="15" style="57" bestFit="1" customWidth="1"/>
    <col min="15624" max="15873" width="9" style="57"/>
    <col min="15874" max="15874" width="46.36328125" style="57" bestFit="1" customWidth="1"/>
    <col min="15875" max="15875" width="15.08984375" style="57" bestFit="1" customWidth="1"/>
    <col min="15876" max="15878" width="16.08984375" style="57" bestFit="1" customWidth="1"/>
    <col min="15879" max="15879" width="15" style="57" bestFit="1" customWidth="1"/>
    <col min="15880" max="16129" width="9" style="57"/>
    <col min="16130" max="16130" width="46.36328125" style="57" bestFit="1" customWidth="1"/>
    <col min="16131" max="16131" width="15.08984375" style="57" bestFit="1" customWidth="1"/>
    <col min="16132" max="16134" width="16.08984375" style="57" bestFit="1" customWidth="1"/>
    <col min="16135" max="16135" width="15" style="57" bestFit="1" customWidth="1"/>
    <col min="16136" max="16384" width="9" style="57"/>
  </cols>
  <sheetData>
    <row r="1" spans="1:15">
      <c r="A1" s="57" t="s">
        <v>265</v>
      </c>
      <c r="B1" s="104" t="s">
        <v>91</v>
      </c>
      <c r="C1" s="58" t="s">
        <v>266</v>
      </c>
      <c r="D1" s="58" t="s">
        <v>293</v>
      </c>
      <c r="E1" s="227" t="s">
        <v>418</v>
      </c>
      <c r="F1" s="227" t="s">
        <v>419</v>
      </c>
      <c r="G1" s="58">
        <f>标的公司IS!G1</f>
        <v>0</v>
      </c>
      <c r="I1" s="63"/>
      <c r="J1" s="63" t="str">
        <f>C1</f>
        <v>2017-12-31</v>
      </c>
      <c r="K1" s="63" t="str">
        <f>D1</f>
        <v>2018-12-31</v>
      </c>
      <c r="L1" s="63" t="str">
        <f>E1</f>
        <v>2019-12-31</v>
      </c>
      <c r="M1" s="63" t="str">
        <f>F1</f>
        <v>2020-09-30</v>
      </c>
      <c r="N1" s="63" t="s">
        <v>420</v>
      </c>
      <c r="O1" s="62" t="s">
        <v>253</v>
      </c>
    </row>
    <row r="2" spans="1:15">
      <c r="A2" s="57" t="s">
        <v>92</v>
      </c>
      <c r="B2" s="104" t="s">
        <v>93</v>
      </c>
      <c r="C2" s="58" t="s">
        <v>93</v>
      </c>
      <c r="D2" s="58" t="s">
        <v>93</v>
      </c>
      <c r="E2" s="58" t="s">
        <v>269</v>
      </c>
      <c r="F2" s="58" t="s">
        <v>94</v>
      </c>
      <c r="G2" s="58"/>
      <c r="I2" s="63" t="s">
        <v>255</v>
      </c>
      <c r="J2" s="64">
        <f>C25/C4</f>
        <v>0.13289333714652202</v>
      </c>
      <c r="K2" s="64">
        <f>D25/D4</f>
        <v>0.14052148839446807</v>
      </c>
      <c r="L2" s="64">
        <f>E25/E4</f>
        <v>0.14043717698246014</v>
      </c>
      <c r="M2" s="64"/>
      <c r="N2" s="64"/>
      <c r="O2" s="64">
        <f>AVERAGE(J2:L2,N2)</f>
        <v>0.13795066750781673</v>
      </c>
    </row>
    <row r="3" spans="1:15">
      <c r="A3" s="57" t="s">
        <v>57</v>
      </c>
      <c r="B3" s="104" t="s">
        <v>95</v>
      </c>
      <c r="C3" s="58" t="s">
        <v>95</v>
      </c>
      <c r="D3" s="58" t="s">
        <v>95</v>
      </c>
      <c r="E3" s="58" t="s">
        <v>95</v>
      </c>
      <c r="F3" s="58" t="s">
        <v>95</v>
      </c>
      <c r="G3" s="58"/>
      <c r="I3" s="55" t="s">
        <v>247</v>
      </c>
      <c r="J3" s="38"/>
      <c r="K3" s="38">
        <f>(D31+D13)/D15</f>
        <v>39.061773496273368</v>
      </c>
      <c r="L3" s="38">
        <f>(E31+E13)/E15</f>
        <v>37.754239796686996</v>
      </c>
      <c r="M3" s="38"/>
      <c r="N3" s="38"/>
      <c r="O3" s="38">
        <f>AVERAGE(J3:L3,N3)</f>
        <v>38.408006646480182</v>
      </c>
    </row>
    <row r="4" spans="1:15">
      <c r="A4" s="60" t="s">
        <v>201</v>
      </c>
      <c r="B4" s="244">
        <v>32652.258044999999</v>
      </c>
      <c r="C4" s="61">
        <v>46305.859181</v>
      </c>
      <c r="D4" s="61">
        <v>56227.679448000003</v>
      </c>
      <c r="E4" s="61">
        <v>67457.06947799999</v>
      </c>
      <c r="F4" s="61">
        <v>41587.695052999996</v>
      </c>
      <c r="G4" s="61">
        <v>80298.333299999998</v>
      </c>
      <c r="H4" s="57">
        <f>G4/E4-1</f>
        <v>0.19036201722620016</v>
      </c>
      <c r="I4" s="63"/>
      <c r="J4" s="62"/>
      <c r="K4" s="62"/>
      <c r="L4" s="62"/>
      <c r="M4" s="62"/>
      <c r="N4" s="62"/>
      <c r="O4" s="62"/>
    </row>
    <row r="5" spans="1:15" ht="14">
      <c r="A5" s="57" t="s">
        <v>202</v>
      </c>
      <c r="B5" s="70">
        <v>32652.258044999999</v>
      </c>
      <c r="C5" s="61">
        <v>46305.859181</v>
      </c>
      <c r="D5" s="61">
        <v>56227.679448000003</v>
      </c>
      <c r="E5" s="61">
        <v>67457.06947799999</v>
      </c>
      <c r="F5" s="61">
        <v>41587.695052999996</v>
      </c>
      <c r="G5" s="61"/>
      <c r="I5" s="59"/>
      <c r="O5" s="54"/>
    </row>
    <row r="6" spans="1:15">
      <c r="A6" s="57" t="s">
        <v>203</v>
      </c>
      <c r="C6" s="61"/>
      <c r="D6" s="61"/>
      <c r="E6" s="61"/>
      <c r="F6" s="61"/>
      <c r="G6" s="61"/>
      <c r="I6" s="55" t="s">
        <v>249</v>
      </c>
      <c r="J6" s="64">
        <f>C4/B4-1</f>
        <v>0.41815182022582231</v>
      </c>
      <c r="K6" s="64">
        <f>D4/C4-1</f>
        <v>0.21426705912566413</v>
      </c>
      <c r="L6" s="64">
        <f>E4/D4-1</f>
        <v>0.19971284855148719</v>
      </c>
      <c r="M6" s="64"/>
      <c r="N6" s="64"/>
      <c r="O6" s="64">
        <f>AVERAGE(J6:L6,N6)</f>
        <v>0.27737724263432456</v>
      </c>
    </row>
    <row r="7" spans="1:15">
      <c r="A7" s="60" t="s">
        <v>204</v>
      </c>
      <c r="B7" s="244">
        <v>35289.089994000002</v>
      </c>
      <c r="C7" s="61">
        <v>43865.136720000002</v>
      </c>
      <c r="D7" s="61">
        <v>52547.142922000006</v>
      </c>
      <c r="E7" s="61">
        <v>63991.980733000004</v>
      </c>
      <c r="F7" s="61">
        <v>49552.376682999995</v>
      </c>
      <c r="G7" s="61"/>
      <c r="I7" s="55" t="s">
        <v>250</v>
      </c>
      <c r="J7" s="62"/>
      <c r="K7" s="62"/>
      <c r="L7" s="62"/>
      <c r="M7" s="62"/>
      <c r="N7" s="62"/>
      <c r="O7" s="62"/>
    </row>
    <row r="8" spans="1:15">
      <c r="A8" s="57" t="s">
        <v>205</v>
      </c>
      <c r="B8" s="70">
        <v>8116.6187110000001</v>
      </c>
      <c r="C8" s="61">
        <v>10404.834296999999</v>
      </c>
      <c r="D8" s="61">
        <v>13324.987209000001</v>
      </c>
      <c r="E8" s="61">
        <v>16191.942625999998</v>
      </c>
      <c r="F8" s="61">
        <v>13941.597046000001</v>
      </c>
      <c r="G8" s="61"/>
      <c r="I8" s="56" t="s">
        <v>281</v>
      </c>
      <c r="J8" s="64">
        <f>(C25-B25)/ABS(B25)</f>
        <v>3.3372215810650956</v>
      </c>
      <c r="K8" s="64">
        <f>D25/C25-1</f>
        <v>0.28396666168885876</v>
      </c>
      <c r="L8" s="64">
        <f>E25/D25-1</f>
        <v>0.19899303348675135</v>
      </c>
      <c r="M8" s="64"/>
      <c r="N8" s="64"/>
      <c r="O8" s="64">
        <f>AVERAGE(J8:L8,N8)</f>
        <v>1.273393758746902</v>
      </c>
    </row>
    <row r="9" spans="1:15">
      <c r="A9" s="57" t="s">
        <v>206</v>
      </c>
      <c r="B9" s="70">
        <v>459.87624599999998</v>
      </c>
      <c r="C9" s="61">
        <v>509.23127300000004</v>
      </c>
      <c r="D9" s="61">
        <v>635.40281300000004</v>
      </c>
      <c r="E9" s="61">
        <v>826.86282800000004</v>
      </c>
      <c r="F9" s="61">
        <v>353.14151499999997</v>
      </c>
      <c r="G9" s="61"/>
    </row>
    <row r="10" spans="1:15">
      <c r="A10" s="57" t="s">
        <v>207</v>
      </c>
      <c r="B10" s="70">
        <v>12122.736887999999</v>
      </c>
      <c r="C10" s="61">
        <v>15368.707931000001</v>
      </c>
      <c r="D10" s="61">
        <v>17996.952378000002</v>
      </c>
      <c r="E10" s="61">
        <v>21793.551057000001</v>
      </c>
      <c r="F10" s="61">
        <v>15899.350422</v>
      </c>
      <c r="G10" s="61"/>
    </row>
    <row r="11" spans="1:15">
      <c r="A11" s="57" t="s">
        <v>208</v>
      </c>
      <c r="B11" s="70">
        <v>2330.4732100000001</v>
      </c>
      <c r="C11" s="61">
        <v>3065.8687030000001</v>
      </c>
      <c r="D11" s="61">
        <v>3922.977136</v>
      </c>
      <c r="E11" s="61">
        <v>4964.0805829999999</v>
      </c>
      <c r="F11" s="61">
        <v>3071.2362870000002</v>
      </c>
      <c r="G11" s="61"/>
    </row>
    <row r="12" spans="1:15">
      <c r="A12" s="57" t="s">
        <v>387</v>
      </c>
      <c r="B12" s="70">
        <v>12104.122234</v>
      </c>
      <c r="C12" s="61">
        <v>14150.198612999999</v>
      </c>
      <c r="D12" s="61">
        <v>15646.137106</v>
      </c>
      <c r="E12" s="61">
        <v>18674.723224000001</v>
      </c>
      <c r="F12" s="61">
        <v>15367.670222999999</v>
      </c>
      <c r="G12" s="61"/>
    </row>
    <row r="13" spans="1:15">
      <c r="A13" s="57" t="s">
        <v>209</v>
      </c>
      <c r="B13" s="70">
        <v>114.446304</v>
      </c>
      <c r="C13" s="61">
        <v>-165.35465400000001</v>
      </c>
      <c r="D13" s="61">
        <v>246.21605299999999</v>
      </c>
      <c r="E13" s="61">
        <v>130.16333400000002</v>
      </c>
      <c r="F13" s="61">
        <v>-97.616309000000001</v>
      </c>
      <c r="G13" s="61"/>
    </row>
    <row r="14" spans="1:15">
      <c r="A14" s="57" t="s">
        <v>210</v>
      </c>
      <c r="B14" s="70">
        <v>40.816400999999999</v>
      </c>
      <c r="C14" s="61">
        <v>531.65055700000005</v>
      </c>
      <c r="D14" s="61">
        <v>774.47022699999991</v>
      </c>
      <c r="E14" s="61">
        <v>1410.6570810000001</v>
      </c>
      <c r="F14" s="61">
        <v>1016.9974990000001</v>
      </c>
      <c r="G14" s="61"/>
    </row>
    <row r="15" spans="1:15">
      <c r="A15" s="225" t="s">
        <v>413</v>
      </c>
      <c r="B15" s="228">
        <v>14.562872</v>
      </c>
      <c r="C15" s="226">
        <v>0</v>
      </c>
      <c r="D15" s="226">
        <v>208.01691299999999</v>
      </c>
      <c r="E15" s="226">
        <v>253.83681800000002</v>
      </c>
      <c r="F15" s="226">
        <v>15.684166000000001</v>
      </c>
      <c r="G15" s="226"/>
    </row>
    <row r="16" spans="1:15">
      <c r="A16" s="60" t="s">
        <v>211</v>
      </c>
      <c r="B16" s="244"/>
      <c r="C16" s="61"/>
      <c r="D16" s="61"/>
      <c r="E16" s="61"/>
      <c r="F16" s="61"/>
      <c r="G16" s="61"/>
    </row>
    <row r="17" spans="1:7">
      <c r="A17" s="57" t="s">
        <v>212</v>
      </c>
      <c r="C17" s="61"/>
      <c r="D17" s="61"/>
      <c r="E17" s="61"/>
      <c r="F17" s="61"/>
      <c r="G17" s="61"/>
    </row>
    <row r="18" spans="1:7">
      <c r="A18" s="57" t="s">
        <v>213</v>
      </c>
      <c r="B18" s="70">
        <v>7.498081</v>
      </c>
      <c r="C18" s="61">
        <v>94.441195999999991</v>
      </c>
      <c r="D18" s="61">
        <v>66.990144000000001</v>
      </c>
      <c r="E18" s="61">
        <v>494.80423899999994</v>
      </c>
      <c r="F18" s="61">
        <v>959.71614899999997</v>
      </c>
      <c r="G18" s="61"/>
    </row>
    <row r="19" spans="1:7">
      <c r="A19" s="57" t="s">
        <v>214</v>
      </c>
      <c r="C19" s="61"/>
      <c r="D19" s="61"/>
      <c r="E19" s="61"/>
      <c r="F19" s="61"/>
      <c r="G19" s="61"/>
    </row>
    <row r="20" spans="1:7">
      <c r="A20" s="57" t="s">
        <v>215</v>
      </c>
      <c r="C20" s="61"/>
      <c r="D20" s="61"/>
      <c r="E20" s="61"/>
      <c r="F20" s="61"/>
      <c r="G20" s="61"/>
    </row>
    <row r="21" spans="1:7">
      <c r="A21" s="57" t="s">
        <v>216</v>
      </c>
      <c r="B21" s="70">
        <v>-3.5958489999999999</v>
      </c>
      <c r="C21" s="61">
        <v>-42.219631</v>
      </c>
      <c r="D21" s="61">
        <v>-10.249176</v>
      </c>
      <c r="E21" s="61">
        <v>31.351877000000002</v>
      </c>
      <c r="F21" s="61">
        <v>8.5701529999999995</v>
      </c>
      <c r="G21" s="61"/>
    </row>
    <row r="22" spans="1:7">
      <c r="A22" s="57" t="s">
        <v>217</v>
      </c>
      <c r="B22" s="70">
        <v>0</v>
      </c>
      <c r="C22" s="61">
        <v>3660.7961299999997</v>
      </c>
      <c r="D22" s="61">
        <v>4163.9197109999996</v>
      </c>
      <c r="E22" s="61">
        <v>5482.2355440000001</v>
      </c>
      <c r="F22" s="61">
        <v>2128.7278809999998</v>
      </c>
      <c r="G22" s="61"/>
    </row>
    <row r="23" spans="1:7">
      <c r="A23" s="57" t="s">
        <v>218</v>
      </c>
      <c r="C23" s="61"/>
      <c r="D23" s="61"/>
      <c r="E23" s="61"/>
      <c r="F23" s="61"/>
      <c r="G23" s="61"/>
    </row>
    <row r="24" spans="1:7">
      <c r="A24" s="57" t="s">
        <v>219</v>
      </c>
      <c r="C24" s="61"/>
      <c r="D24" s="61"/>
      <c r="E24" s="61"/>
      <c r="F24" s="61"/>
      <c r="G24" s="61"/>
    </row>
    <row r="25" spans="1:7">
      <c r="A25" s="60" t="s">
        <v>220</v>
      </c>
      <c r="B25" s="101">
        <f>B5-SUM(B8:B14)+SUM(B17:B22)</f>
        <v>-2632.9297169999959</v>
      </c>
      <c r="C25" s="101">
        <f>C5-SUM(C8:C14)+SUM(C17:C22)</f>
        <v>6153.7401560000044</v>
      </c>
      <c r="D25" s="101">
        <f>D5-SUM(D8:D14)+SUM(D17:D22)</f>
        <v>7901.1972050000031</v>
      </c>
      <c r="E25" s="101">
        <f>E5-SUM(E8:E14)+SUM(E17:E22)</f>
        <v>9473.4804049999948</v>
      </c>
      <c r="F25" s="101">
        <f>F5-SUM(F8:F14)+SUM(F17:F22)</f>
        <v>-4867.6674470000071</v>
      </c>
      <c r="G25" s="61"/>
    </row>
    <row r="26" spans="1:7">
      <c r="A26" s="57" t="s">
        <v>221</v>
      </c>
      <c r="B26" s="70">
        <v>2793.4480519999997</v>
      </c>
      <c r="C26" s="239">
        <v>4.8751870000000004</v>
      </c>
      <c r="D26" s="239">
        <v>25.621396000000001</v>
      </c>
      <c r="E26" s="239">
        <v>25.501730999999999</v>
      </c>
      <c r="F26" s="239">
        <v>10.774934</v>
      </c>
      <c r="G26" s="61"/>
    </row>
    <row r="27" spans="1:7">
      <c r="A27" s="57" t="s">
        <v>222</v>
      </c>
      <c r="B27" s="70">
        <v>4.3953800000000003</v>
      </c>
      <c r="C27" s="239">
        <v>21.552717999999999</v>
      </c>
      <c r="D27" s="239">
        <v>47.525115</v>
      </c>
      <c r="E27" s="239">
        <v>45.729374</v>
      </c>
      <c r="F27" s="239">
        <v>76.344988999999998</v>
      </c>
      <c r="G27" s="61"/>
    </row>
    <row r="28" spans="1:7">
      <c r="A28" s="57" t="s">
        <v>223</v>
      </c>
      <c r="C28" s="61"/>
      <c r="D28" s="61"/>
      <c r="E28" s="61"/>
      <c r="F28" s="61"/>
      <c r="G28" s="61"/>
    </row>
    <row r="29" spans="1:7">
      <c r="A29" s="57" t="s">
        <v>224</v>
      </c>
      <c r="C29" s="61"/>
      <c r="D29" s="61"/>
      <c r="E29" s="61"/>
      <c r="F29" s="61"/>
      <c r="G29" s="61"/>
    </row>
    <row r="30" spans="1:7">
      <c r="A30" s="57" t="s">
        <v>225</v>
      </c>
      <c r="C30" s="61"/>
      <c r="D30" s="61"/>
      <c r="E30" s="61"/>
      <c r="F30" s="61"/>
      <c r="G30" s="61"/>
    </row>
    <row r="31" spans="1:7">
      <c r="A31" s="60" t="s">
        <v>226</v>
      </c>
      <c r="B31" s="101">
        <f>B25+B26-B27</f>
        <v>156.12295500000386</v>
      </c>
      <c r="C31" s="101">
        <f>C25+C26-C27</f>
        <v>6137.0626250000041</v>
      </c>
      <c r="D31" s="101">
        <f>D25+D26-D27</f>
        <v>7879.2934860000023</v>
      </c>
      <c r="E31" s="101">
        <f>E25+E26-E27</f>
        <v>9453.2527619999946</v>
      </c>
      <c r="F31" s="101">
        <f>F25+F26-F27</f>
        <v>-4933.2375020000072</v>
      </c>
      <c r="G31" s="61"/>
    </row>
    <row r="32" spans="1:7">
      <c r="A32" s="57" t="s">
        <v>227</v>
      </c>
      <c r="B32" s="70">
        <v>37.624876</v>
      </c>
      <c r="C32" s="239">
        <v>131.83858500000002</v>
      </c>
      <c r="D32" s="239">
        <v>988.11929199999997</v>
      </c>
      <c r="E32" s="239">
        <v>348.64478600000001</v>
      </c>
      <c r="F32" s="239">
        <v>-235.04443700000002</v>
      </c>
      <c r="G32" s="61"/>
    </row>
    <row r="33" spans="1:7">
      <c r="A33" s="57" t="s">
        <v>228</v>
      </c>
      <c r="C33" s="61"/>
      <c r="D33" s="61"/>
      <c r="E33" s="61"/>
      <c r="F33" s="61"/>
      <c r="G33" s="61"/>
    </row>
    <row r="34" spans="1:7">
      <c r="A34" s="57" t="s">
        <v>229</v>
      </c>
      <c r="C34" s="61"/>
      <c r="D34" s="61"/>
      <c r="E34" s="61"/>
      <c r="F34" s="61"/>
      <c r="G34" s="61"/>
    </row>
    <row r="35" spans="1:7">
      <c r="A35" s="57" t="s">
        <v>230</v>
      </c>
      <c r="C35" s="61"/>
      <c r="D35" s="61"/>
      <c r="E35" s="61"/>
      <c r="F35" s="61"/>
      <c r="G35" s="61"/>
    </row>
    <row r="36" spans="1:7">
      <c r="A36" s="60" t="s">
        <v>231</v>
      </c>
      <c r="B36" s="101">
        <f>B31-B32</f>
        <v>118.49807900000386</v>
      </c>
      <c r="C36" s="101">
        <f>C31-C32</f>
        <v>6005.2240400000037</v>
      </c>
      <c r="D36" s="101">
        <f>D31-D32</f>
        <v>6891.174194000002</v>
      </c>
      <c r="E36" s="101">
        <f>E31-E32</f>
        <v>9104.6079759999939</v>
      </c>
      <c r="F36" s="101">
        <f>F31-F32</f>
        <v>-4698.1930650000068</v>
      </c>
      <c r="G36" s="61"/>
    </row>
    <row r="37" spans="1:7">
      <c r="A37" s="57" t="s">
        <v>232</v>
      </c>
      <c r="C37" s="61"/>
      <c r="D37" s="61"/>
      <c r="E37" s="61"/>
      <c r="F37" s="61"/>
      <c r="G37" s="61"/>
    </row>
    <row r="38" spans="1:7">
      <c r="A38" s="57" t="s">
        <v>233</v>
      </c>
      <c r="C38" s="61"/>
      <c r="D38" s="61"/>
      <c r="E38" s="61"/>
      <c r="F38" s="61"/>
      <c r="G38" s="61"/>
    </row>
    <row r="39" spans="1:7">
      <c r="A39" s="57" t="s">
        <v>234</v>
      </c>
      <c r="C39" s="61"/>
      <c r="D39" s="61"/>
      <c r="E39" s="61"/>
      <c r="F39" s="61"/>
      <c r="G39" s="61"/>
    </row>
    <row r="40" spans="1:7">
      <c r="A40" s="57" t="s">
        <v>235</v>
      </c>
      <c r="C40" s="61"/>
      <c r="D40" s="61"/>
      <c r="E40" s="61"/>
      <c r="F40" s="61"/>
      <c r="G40" s="61"/>
    </row>
    <row r="41" spans="1:7">
      <c r="A41" s="57" t="s">
        <v>236</v>
      </c>
      <c r="C41" s="61"/>
      <c r="D41" s="61"/>
      <c r="E41" s="61"/>
      <c r="F41" s="61"/>
      <c r="G41" s="61"/>
    </row>
    <row r="42" spans="1:7">
      <c r="A42" s="60" t="s">
        <v>237</v>
      </c>
      <c r="B42" s="244"/>
      <c r="C42" s="61"/>
      <c r="D42" s="61"/>
      <c r="E42" s="61"/>
      <c r="F42" s="61"/>
      <c r="G42" s="61"/>
    </row>
    <row r="43" spans="1:7">
      <c r="A43" s="57" t="s">
        <v>238</v>
      </c>
      <c r="C43" s="61"/>
      <c r="D43" s="61"/>
      <c r="E43" s="61"/>
      <c r="F43" s="61"/>
      <c r="G43" s="61"/>
    </row>
    <row r="44" spans="1:7">
      <c r="A44" s="57" t="s">
        <v>239</v>
      </c>
      <c r="C44" s="61"/>
      <c r="D44" s="61"/>
      <c r="E44" s="61"/>
      <c r="F44" s="61"/>
      <c r="G44" s="61"/>
    </row>
    <row r="45" spans="1:7">
      <c r="A45" s="60" t="s">
        <v>240</v>
      </c>
      <c r="B45" s="244"/>
      <c r="C45" s="58"/>
      <c r="D45" s="58"/>
      <c r="E45" s="58"/>
      <c r="F45" s="58"/>
      <c r="G45" s="58"/>
    </row>
    <row r="46" spans="1:7">
      <c r="A46" s="57" t="s">
        <v>241</v>
      </c>
      <c r="C46" s="69"/>
      <c r="D46" s="69"/>
      <c r="E46" s="69"/>
      <c r="F46" s="69"/>
      <c r="G46" s="69"/>
    </row>
    <row r="47" spans="1:7">
      <c r="A47" s="57" t="s">
        <v>242</v>
      </c>
      <c r="C47" s="69"/>
      <c r="D47" s="69"/>
      <c r="E47" s="69"/>
      <c r="F47" s="69"/>
      <c r="G47" s="69"/>
    </row>
    <row r="48" spans="1:7">
      <c r="A48" s="57" t="s">
        <v>199</v>
      </c>
    </row>
    <row r="50" spans="1:7">
      <c r="A50" s="59"/>
      <c r="B50" s="245"/>
      <c r="C50" s="70"/>
      <c r="D50" s="70"/>
      <c r="E50" s="70"/>
      <c r="F50" s="70"/>
      <c r="G50" s="70"/>
    </row>
    <row r="51" spans="1:7">
      <c r="A51" s="59"/>
      <c r="B51" s="245"/>
      <c r="C51" s="70"/>
      <c r="D51" s="70"/>
      <c r="E51" s="70"/>
      <c r="F51" s="70"/>
      <c r="G51" s="70"/>
    </row>
    <row r="52" spans="1:7">
      <c r="A52" s="59"/>
      <c r="B52" s="245"/>
      <c r="C52" s="70"/>
      <c r="D52" s="70"/>
      <c r="E52" s="70"/>
      <c r="F52" s="70"/>
      <c r="G52" s="70"/>
    </row>
  </sheetData>
  <phoneticPr fontId="2" type="noConversion"/>
  <conditionalFormatting sqref="C26:F26">
    <cfRule type="cellIs" dxfId="219" priority="3" stopIfTrue="1" operator="lessThan">
      <formula>0</formula>
    </cfRule>
  </conditionalFormatting>
  <conditionalFormatting sqref="C27:F27">
    <cfRule type="cellIs" dxfId="218" priority="2" stopIfTrue="1" operator="lessThan">
      <formula>0</formula>
    </cfRule>
  </conditionalFormatting>
  <conditionalFormatting sqref="C32:F32">
    <cfRule type="cellIs" dxfId="217" priority="1" stopIfTrue="1" operator="lessThan">
      <formula>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21"/>
  <sheetViews>
    <sheetView workbookViewId="0">
      <selection activeCell="K3" sqref="K3"/>
    </sheetView>
  </sheetViews>
  <sheetFormatPr defaultRowHeight="13"/>
  <cols>
    <col min="1" max="1" width="22.26953125" style="57" customWidth="1"/>
    <col min="2" max="2" width="13.36328125" style="70" customWidth="1"/>
    <col min="3" max="4" width="14.08984375" style="70" bestFit="1" customWidth="1"/>
    <col min="5" max="5" width="15.08984375" style="70" customWidth="1"/>
    <col min="6" max="6" width="14.08984375" style="70" bestFit="1" customWidth="1"/>
    <col min="7" max="8" width="15.08984375" style="57" customWidth="1"/>
    <col min="9" max="9" width="9" style="57"/>
    <col min="10" max="10" width="16.453125" style="57" customWidth="1"/>
    <col min="11" max="11" width="9" style="57"/>
    <col min="12" max="14" width="10.26953125" style="57" bestFit="1" customWidth="1"/>
    <col min="15" max="15" width="13.453125" style="57" bestFit="1" customWidth="1"/>
    <col min="16" max="258" width="9" style="57"/>
    <col min="259" max="259" width="34.08984375" style="57" bestFit="1" customWidth="1"/>
    <col min="260" max="264" width="16.08984375" style="57" bestFit="1" customWidth="1"/>
    <col min="265" max="514" width="9" style="57"/>
    <col min="515" max="515" width="34.08984375" style="57" bestFit="1" customWidth="1"/>
    <col min="516" max="520" width="16.08984375" style="57" bestFit="1" customWidth="1"/>
    <col min="521" max="770" width="9" style="57"/>
    <col min="771" max="771" width="34.08984375" style="57" bestFit="1" customWidth="1"/>
    <col min="772" max="776" width="16.08984375" style="57" bestFit="1" customWidth="1"/>
    <col min="777" max="1026" width="9" style="57"/>
    <col min="1027" max="1027" width="34.08984375" style="57" bestFit="1" customWidth="1"/>
    <col min="1028" max="1032" width="16.08984375" style="57" bestFit="1" customWidth="1"/>
    <col min="1033" max="1282" width="9" style="57"/>
    <col min="1283" max="1283" width="34.08984375" style="57" bestFit="1" customWidth="1"/>
    <col min="1284" max="1288" width="16.08984375" style="57" bestFit="1" customWidth="1"/>
    <col min="1289" max="1538" width="9" style="57"/>
    <col min="1539" max="1539" width="34.08984375" style="57" bestFit="1" customWidth="1"/>
    <col min="1540" max="1544" width="16.08984375" style="57" bestFit="1" customWidth="1"/>
    <col min="1545" max="1794" width="9" style="57"/>
    <col min="1795" max="1795" width="34.08984375" style="57" bestFit="1" customWidth="1"/>
    <col min="1796" max="1800" width="16.08984375" style="57" bestFit="1" customWidth="1"/>
    <col min="1801" max="2050" width="9" style="57"/>
    <col min="2051" max="2051" width="34.08984375" style="57" bestFit="1" customWidth="1"/>
    <col min="2052" max="2056" width="16.08984375" style="57" bestFit="1" customWidth="1"/>
    <col min="2057" max="2306" width="9" style="57"/>
    <col min="2307" max="2307" width="34.08984375" style="57" bestFit="1" customWidth="1"/>
    <col min="2308" max="2312" width="16.08984375" style="57" bestFit="1" customWidth="1"/>
    <col min="2313" max="2562" width="9" style="57"/>
    <col min="2563" max="2563" width="34.08984375" style="57" bestFit="1" customWidth="1"/>
    <col min="2564" max="2568" width="16.08984375" style="57" bestFit="1" customWidth="1"/>
    <col min="2569" max="2818" width="9" style="57"/>
    <col min="2819" max="2819" width="34.08984375" style="57" bestFit="1" customWidth="1"/>
    <col min="2820" max="2824" width="16.08984375" style="57" bestFit="1" customWidth="1"/>
    <col min="2825" max="3074" width="9" style="57"/>
    <col min="3075" max="3075" width="34.08984375" style="57" bestFit="1" customWidth="1"/>
    <col min="3076" max="3080" width="16.08984375" style="57" bestFit="1" customWidth="1"/>
    <col min="3081" max="3330" width="9" style="57"/>
    <col min="3331" max="3331" width="34.08984375" style="57" bestFit="1" customWidth="1"/>
    <col min="3332" max="3336" width="16.08984375" style="57" bestFit="1" customWidth="1"/>
    <col min="3337" max="3586" width="9" style="57"/>
    <col min="3587" max="3587" width="34.08984375" style="57" bestFit="1" customWidth="1"/>
    <col min="3588" max="3592" width="16.08984375" style="57" bestFit="1" customWidth="1"/>
    <col min="3593" max="3842" width="9" style="57"/>
    <col min="3843" max="3843" width="34.08984375" style="57" bestFit="1" customWidth="1"/>
    <col min="3844" max="3848" width="16.08984375" style="57" bestFit="1" customWidth="1"/>
    <col min="3849" max="4098" width="9" style="57"/>
    <col min="4099" max="4099" width="34.08984375" style="57" bestFit="1" customWidth="1"/>
    <col min="4100" max="4104" width="16.08984375" style="57" bestFit="1" customWidth="1"/>
    <col min="4105" max="4354" width="9" style="57"/>
    <col min="4355" max="4355" width="34.08984375" style="57" bestFit="1" customWidth="1"/>
    <col min="4356" max="4360" width="16.08984375" style="57" bestFit="1" customWidth="1"/>
    <col min="4361" max="4610" width="9" style="57"/>
    <col min="4611" max="4611" width="34.08984375" style="57" bestFit="1" customWidth="1"/>
    <col min="4612" max="4616" width="16.08984375" style="57" bestFit="1" customWidth="1"/>
    <col min="4617" max="4866" width="9" style="57"/>
    <col min="4867" max="4867" width="34.08984375" style="57" bestFit="1" customWidth="1"/>
    <col min="4868" max="4872" width="16.08984375" style="57" bestFit="1" customWidth="1"/>
    <col min="4873" max="5122" width="9" style="57"/>
    <col min="5123" max="5123" width="34.08984375" style="57" bestFit="1" customWidth="1"/>
    <col min="5124" max="5128" width="16.08984375" style="57" bestFit="1" customWidth="1"/>
    <col min="5129" max="5378" width="9" style="57"/>
    <col min="5379" max="5379" width="34.08984375" style="57" bestFit="1" customWidth="1"/>
    <col min="5380" max="5384" width="16.08984375" style="57" bestFit="1" customWidth="1"/>
    <col min="5385" max="5634" width="9" style="57"/>
    <col min="5635" max="5635" width="34.08984375" style="57" bestFit="1" customWidth="1"/>
    <col min="5636" max="5640" width="16.08984375" style="57" bestFit="1" customWidth="1"/>
    <col min="5641" max="5890" width="9" style="57"/>
    <col min="5891" max="5891" width="34.08984375" style="57" bestFit="1" customWidth="1"/>
    <col min="5892" max="5896" width="16.08984375" style="57" bestFit="1" customWidth="1"/>
    <col min="5897" max="6146" width="9" style="57"/>
    <col min="6147" max="6147" width="34.08984375" style="57" bestFit="1" customWidth="1"/>
    <col min="6148" max="6152" width="16.08984375" style="57" bestFit="1" customWidth="1"/>
    <col min="6153" max="6402" width="9" style="57"/>
    <col min="6403" max="6403" width="34.08984375" style="57" bestFit="1" customWidth="1"/>
    <col min="6404" max="6408" width="16.08984375" style="57" bestFit="1" customWidth="1"/>
    <col min="6409" max="6658" width="9" style="57"/>
    <col min="6659" max="6659" width="34.08984375" style="57" bestFit="1" customWidth="1"/>
    <col min="6660" max="6664" width="16.08984375" style="57" bestFit="1" customWidth="1"/>
    <col min="6665" max="6914" width="9" style="57"/>
    <col min="6915" max="6915" width="34.08984375" style="57" bestFit="1" customWidth="1"/>
    <col min="6916" max="6920" width="16.08984375" style="57" bestFit="1" customWidth="1"/>
    <col min="6921" max="7170" width="9" style="57"/>
    <col min="7171" max="7171" width="34.08984375" style="57" bestFit="1" customWidth="1"/>
    <col min="7172" max="7176" width="16.08984375" style="57" bestFit="1" customWidth="1"/>
    <col min="7177" max="7426" width="9" style="57"/>
    <col min="7427" max="7427" width="34.08984375" style="57" bestFit="1" customWidth="1"/>
    <col min="7428" max="7432" width="16.08984375" style="57" bestFit="1" customWidth="1"/>
    <col min="7433" max="7682" width="9" style="57"/>
    <col min="7683" max="7683" width="34.08984375" style="57" bestFit="1" customWidth="1"/>
    <col min="7684" max="7688" width="16.08984375" style="57" bestFit="1" customWidth="1"/>
    <col min="7689" max="7938" width="9" style="57"/>
    <col min="7939" max="7939" width="34.08984375" style="57" bestFit="1" customWidth="1"/>
    <col min="7940" max="7944" width="16.08984375" style="57" bestFit="1" customWidth="1"/>
    <col min="7945" max="8194" width="9" style="57"/>
    <col min="8195" max="8195" width="34.08984375" style="57" bestFit="1" customWidth="1"/>
    <col min="8196" max="8200" width="16.08984375" style="57" bestFit="1" customWidth="1"/>
    <col min="8201" max="8450" width="9" style="57"/>
    <col min="8451" max="8451" width="34.08984375" style="57" bestFit="1" customWidth="1"/>
    <col min="8452" max="8456" width="16.08984375" style="57" bestFit="1" customWidth="1"/>
    <col min="8457" max="8706" width="9" style="57"/>
    <col min="8707" max="8707" width="34.08984375" style="57" bestFit="1" customWidth="1"/>
    <col min="8708" max="8712" width="16.08984375" style="57" bestFit="1" customWidth="1"/>
    <col min="8713" max="8962" width="9" style="57"/>
    <col min="8963" max="8963" width="34.08984375" style="57" bestFit="1" customWidth="1"/>
    <col min="8964" max="8968" width="16.08984375" style="57" bestFit="1" customWidth="1"/>
    <col min="8969" max="9218" width="9" style="57"/>
    <col min="9219" max="9219" width="34.08984375" style="57" bestFit="1" customWidth="1"/>
    <col min="9220" max="9224" width="16.08984375" style="57" bestFit="1" customWidth="1"/>
    <col min="9225" max="9474" width="9" style="57"/>
    <col min="9475" max="9475" width="34.08984375" style="57" bestFit="1" customWidth="1"/>
    <col min="9476" max="9480" width="16.08984375" style="57" bestFit="1" customWidth="1"/>
    <col min="9481" max="9730" width="9" style="57"/>
    <col min="9731" max="9731" width="34.08984375" style="57" bestFit="1" customWidth="1"/>
    <col min="9732" max="9736" width="16.08984375" style="57" bestFit="1" customWidth="1"/>
    <col min="9737" max="9986" width="9" style="57"/>
    <col min="9987" max="9987" width="34.08984375" style="57" bestFit="1" customWidth="1"/>
    <col min="9988" max="9992" width="16.08984375" style="57" bestFit="1" customWidth="1"/>
    <col min="9993" max="10242" width="9" style="57"/>
    <col min="10243" max="10243" width="34.08984375" style="57" bestFit="1" customWidth="1"/>
    <col min="10244" max="10248" width="16.08984375" style="57" bestFit="1" customWidth="1"/>
    <col min="10249" max="10498" width="9" style="57"/>
    <col min="10499" max="10499" width="34.08984375" style="57" bestFit="1" customWidth="1"/>
    <col min="10500" max="10504" width="16.08984375" style="57" bestFit="1" customWidth="1"/>
    <col min="10505" max="10754" width="9" style="57"/>
    <col min="10755" max="10755" width="34.08984375" style="57" bestFit="1" customWidth="1"/>
    <col min="10756" max="10760" width="16.08984375" style="57" bestFit="1" customWidth="1"/>
    <col min="10761" max="11010" width="9" style="57"/>
    <col min="11011" max="11011" width="34.08984375" style="57" bestFit="1" customWidth="1"/>
    <col min="11012" max="11016" width="16.08984375" style="57" bestFit="1" customWidth="1"/>
    <col min="11017" max="11266" width="9" style="57"/>
    <col min="11267" max="11267" width="34.08984375" style="57" bestFit="1" customWidth="1"/>
    <col min="11268" max="11272" width="16.08984375" style="57" bestFit="1" customWidth="1"/>
    <col min="11273" max="11522" width="9" style="57"/>
    <col min="11523" max="11523" width="34.08984375" style="57" bestFit="1" customWidth="1"/>
    <col min="11524" max="11528" width="16.08984375" style="57" bestFit="1" customWidth="1"/>
    <col min="11529" max="11778" width="9" style="57"/>
    <col min="11779" max="11779" width="34.08984375" style="57" bestFit="1" customWidth="1"/>
    <col min="11780" max="11784" width="16.08984375" style="57" bestFit="1" customWidth="1"/>
    <col min="11785" max="12034" width="9" style="57"/>
    <col min="12035" max="12035" width="34.08984375" style="57" bestFit="1" customWidth="1"/>
    <col min="12036" max="12040" width="16.08984375" style="57" bestFit="1" customWidth="1"/>
    <col min="12041" max="12290" width="9" style="57"/>
    <col min="12291" max="12291" width="34.08984375" style="57" bestFit="1" customWidth="1"/>
    <col min="12292" max="12296" width="16.08984375" style="57" bestFit="1" customWidth="1"/>
    <col min="12297" max="12546" width="9" style="57"/>
    <col min="12547" max="12547" width="34.08984375" style="57" bestFit="1" customWidth="1"/>
    <col min="12548" max="12552" width="16.08984375" style="57" bestFit="1" customWidth="1"/>
    <col min="12553" max="12802" width="9" style="57"/>
    <col min="12803" max="12803" width="34.08984375" style="57" bestFit="1" customWidth="1"/>
    <col min="12804" max="12808" width="16.08984375" style="57" bestFit="1" customWidth="1"/>
    <col min="12809" max="13058" width="9" style="57"/>
    <col min="13059" max="13059" width="34.08984375" style="57" bestFit="1" customWidth="1"/>
    <col min="13060" max="13064" width="16.08984375" style="57" bestFit="1" customWidth="1"/>
    <col min="13065" max="13314" width="9" style="57"/>
    <col min="13315" max="13315" width="34.08984375" style="57" bestFit="1" customWidth="1"/>
    <col min="13316" max="13320" width="16.08984375" style="57" bestFit="1" customWidth="1"/>
    <col min="13321" max="13570" width="9" style="57"/>
    <col min="13571" max="13571" width="34.08984375" style="57" bestFit="1" customWidth="1"/>
    <col min="13572" max="13576" width="16.08984375" style="57" bestFit="1" customWidth="1"/>
    <col min="13577" max="13826" width="9" style="57"/>
    <col min="13827" max="13827" width="34.08984375" style="57" bestFit="1" customWidth="1"/>
    <col min="13828" max="13832" width="16.08984375" style="57" bestFit="1" customWidth="1"/>
    <col min="13833" max="14082" width="9" style="57"/>
    <col min="14083" max="14083" width="34.08984375" style="57" bestFit="1" customWidth="1"/>
    <col min="14084" max="14088" width="16.08984375" style="57" bestFit="1" customWidth="1"/>
    <col min="14089" max="14338" width="9" style="57"/>
    <col min="14339" max="14339" width="34.08984375" style="57" bestFit="1" customWidth="1"/>
    <col min="14340" max="14344" width="16.08984375" style="57" bestFit="1" customWidth="1"/>
    <col min="14345" max="14594" width="9" style="57"/>
    <col min="14595" max="14595" width="34.08984375" style="57" bestFit="1" customWidth="1"/>
    <col min="14596" max="14600" width="16.08984375" style="57" bestFit="1" customWidth="1"/>
    <col min="14601" max="14850" width="9" style="57"/>
    <col min="14851" max="14851" width="34.08984375" style="57" bestFit="1" customWidth="1"/>
    <col min="14852" max="14856" width="16.08984375" style="57" bestFit="1" customWidth="1"/>
    <col min="14857" max="15106" width="9" style="57"/>
    <col min="15107" max="15107" width="34.08984375" style="57" bestFit="1" customWidth="1"/>
    <col min="15108" max="15112" width="16.08984375" style="57" bestFit="1" customWidth="1"/>
    <col min="15113" max="15362" width="9" style="57"/>
    <col min="15363" max="15363" width="34.08984375" style="57" bestFit="1" customWidth="1"/>
    <col min="15364" max="15368" width="16.08984375" style="57" bestFit="1" customWidth="1"/>
    <col min="15369" max="15618" width="9" style="57"/>
    <col min="15619" max="15619" width="34.08984375" style="57" bestFit="1" customWidth="1"/>
    <col min="15620" max="15624" width="16.08984375" style="57" bestFit="1" customWidth="1"/>
    <col min="15625" max="15874" width="9" style="57"/>
    <col min="15875" max="15875" width="34.08984375" style="57" bestFit="1" customWidth="1"/>
    <col min="15876" max="15880" width="16.08984375" style="57" bestFit="1" customWidth="1"/>
    <col min="15881" max="16130" width="9" style="57"/>
    <col min="16131" max="16131" width="34.08984375" style="57" bestFit="1" customWidth="1"/>
    <col min="16132" max="16136" width="16.08984375" style="57" bestFit="1" customWidth="1"/>
    <col min="16137" max="16384" width="9" style="57"/>
  </cols>
  <sheetData>
    <row r="1" spans="1:16">
      <c r="A1" s="59" t="s">
        <v>90</v>
      </c>
      <c r="B1" s="243" t="s">
        <v>738</v>
      </c>
      <c r="C1" s="243" t="e">
        <f>#REF!</f>
        <v>#REF!</v>
      </c>
      <c r="D1" s="243" t="e">
        <f>#REF!</f>
        <v>#REF!</v>
      </c>
      <c r="E1" s="243" t="e">
        <f>#REF!</f>
        <v>#REF!</v>
      </c>
      <c r="F1" s="243" t="e">
        <f>#REF!</f>
        <v>#REF!</v>
      </c>
      <c r="G1" s="227" t="s">
        <v>741</v>
      </c>
      <c r="H1" s="227" t="s">
        <v>742</v>
      </c>
      <c r="J1" s="62"/>
      <c r="K1" s="63" t="e">
        <f>C1</f>
        <v>#REF!</v>
      </c>
      <c r="L1" s="63" t="e">
        <f>D1</f>
        <v>#REF!</v>
      </c>
      <c r="M1" s="63" t="e">
        <f>E1</f>
        <v>#REF!</v>
      </c>
      <c r="N1" s="63" t="e">
        <f>F1</f>
        <v>#REF!</v>
      </c>
      <c r="O1" s="63" t="s">
        <v>420</v>
      </c>
      <c r="P1" s="62" t="s">
        <v>253</v>
      </c>
    </row>
    <row r="2" spans="1:16">
      <c r="A2" s="57" t="s">
        <v>92</v>
      </c>
      <c r="B2" s="104" t="s">
        <v>93</v>
      </c>
      <c r="C2" s="104" t="s">
        <v>93</v>
      </c>
      <c r="D2" s="104" t="s">
        <v>93</v>
      </c>
      <c r="E2" s="104" t="s">
        <v>269</v>
      </c>
      <c r="F2" s="104" t="s">
        <v>94</v>
      </c>
      <c r="G2" s="58"/>
      <c r="H2" s="58"/>
      <c r="J2" s="62" t="s">
        <v>252</v>
      </c>
      <c r="K2" s="64">
        <f>山石网科IS!C36/(B106+C106)*2</f>
        <v>0.28306553341646756</v>
      </c>
      <c r="L2" s="64">
        <f>山石网科IS!D36/(C106+D106)*2</f>
        <v>0.21741541710163753</v>
      </c>
      <c r="M2" s="64">
        <f>山石网科IS!E36/(D106+E106)*2</f>
        <v>0.10142904916813025</v>
      </c>
      <c r="N2" s="64"/>
      <c r="O2" s="64"/>
      <c r="P2" s="64">
        <f>AVERAGE(K2:M2,O2)</f>
        <v>0.20063666656207846</v>
      </c>
    </row>
    <row r="3" spans="1:16">
      <c r="A3" s="57" t="s">
        <v>57</v>
      </c>
      <c r="B3" s="104" t="s">
        <v>95</v>
      </c>
      <c r="C3" s="104" t="s">
        <v>95</v>
      </c>
      <c r="D3" s="104" t="s">
        <v>95</v>
      </c>
      <c r="E3" s="104" t="s">
        <v>95</v>
      </c>
      <c r="F3" s="104" t="s">
        <v>95</v>
      </c>
      <c r="G3" s="58"/>
      <c r="H3" s="58"/>
      <c r="J3" s="62" t="s">
        <v>254</v>
      </c>
      <c r="K3" s="64">
        <f>(山石网科IS!C31+山石网科IS!C15)/(B49+C49)*2</f>
        <v>0.1692300242105137</v>
      </c>
      <c r="L3" s="64">
        <f>(山石网科IS!D31+山石网科IS!D15)/(C49+D49)*2</f>
        <v>0.14076353638786435</v>
      </c>
      <c r="M3" s="64">
        <f>(山石网科IS!E31+山石网科IS!E15)/(D49+E49)*2</f>
        <v>8.1857643569963903E-2</v>
      </c>
      <c r="N3" s="64"/>
      <c r="O3" s="64"/>
      <c r="P3" s="64">
        <f>AVERAGE(K3:M3,O3)</f>
        <v>0.13061706805611398</v>
      </c>
    </row>
    <row r="4" spans="1:16">
      <c r="A4" s="60" t="s">
        <v>96</v>
      </c>
      <c r="B4" s="244"/>
      <c r="C4" s="104" t="s">
        <v>49</v>
      </c>
      <c r="D4" s="104" t="s">
        <v>49</v>
      </c>
      <c r="E4" s="104" t="s">
        <v>49</v>
      </c>
      <c r="F4" s="104" t="s">
        <v>49</v>
      </c>
      <c r="G4" s="58"/>
      <c r="H4" s="58"/>
      <c r="J4" s="62" t="s">
        <v>255</v>
      </c>
      <c r="K4" s="65">
        <f>山石网科IS!J2</f>
        <v>0.13289333714652202</v>
      </c>
      <c r="L4" s="65">
        <f>山石网科IS!K2</f>
        <v>0.14052148839446807</v>
      </c>
      <c r="M4" s="65">
        <f>山石网科IS!L2</f>
        <v>0.14043717698246014</v>
      </c>
      <c r="N4" s="65"/>
      <c r="O4" s="65"/>
      <c r="P4" s="65">
        <f>AVERAGE(K4:M4,O4)</f>
        <v>0.13795066750781673</v>
      </c>
    </row>
    <row r="5" spans="1:16">
      <c r="A5" s="57" t="s">
        <v>736</v>
      </c>
      <c r="B5" s="70">
        <v>12051.383062999999</v>
      </c>
      <c r="C5" s="239">
        <v>6359.6580649999996</v>
      </c>
      <c r="D5" s="239">
        <v>22130.216574000002</v>
      </c>
      <c r="E5" s="239">
        <v>107517.32608399999</v>
      </c>
      <c r="F5" s="239">
        <v>27550.197526</v>
      </c>
      <c r="G5" s="61"/>
      <c r="H5" s="61"/>
      <c r="J5" s="62"/>
      <c r="K5" s="62"/>
      <c r="L5" s="62"/>
      <c r="M5" s="62"/>
      <c r="N5" s="62"/>
      <c r="O5" s="62"/>
      <c r="P5" s="62"/>
    </row>
    <row r="6" spans="1:16">
      <c r="A6" s="57" t="s">
        <v>98</v>
      </c>
      <c r="B6" s="70">
        <v>0</v>
      </c>
      <c r="C6" s="70">
        <v>0</v>
      </c>
      <c r="D6" s="70">
        <v>0</v>
      </c>
      <c r="E6" s="70">
        <v>0</v>
      </c>
      <c r="F6" s="70">
        <v>67520</v>
      </c>
      <c r="G6" s="61">
        <f>F6</f>
        <v>67520</v>
      </c>
      <c r="H6" s="61" t="s">
        <v>743</v>
      </c>
      <c r="J6" s="56" t="s">
        <v>257</v>
      </c>
      <c r="K6" s="38">
        <f>山石网科IS!C4/(B49+C49)*2</f>
        <v>1.2768880080133225</v>
      </c>
      <c r="L6" s="38">
        <f>山石网科IS!D4/(C49+D49)*2</f>
        <v>0.97866986816313972</v>
      </c>
      <c r="M6" s="38">
        <f>山石网科IS!E4/(D49+E49)*2</f>
        <v>0.56884988070795339</v>
      </c>
      <c r="N6" s="38"/>
      <c r="O6" s="38"/>
      <c r="P6" s="38">
        <f>AVERAGE(K6:M6,O6)</f>
        <v>0.94146925229480516</v>
      </c>
    </row>
    <row r="7" spans="1:16">
      <c r="A7" s="57" t="s">
        <v>99</v>
      </c>
      <c r="G7" s="61"/>
      <c r="H7" s="61"/>
      <c r="J7" s="56" t="s">
        <v>244</v>
      </c>
      <c r="K7" s="38">
        <f>山石网科IS!C4/(B24+C24)*2</f>
        <v>1.3653342387877616</v>
      </c>
      <c r="L7" s="38">
        <f>山石网科IS!D4/(C24+D24)*2</f>
        <v>1.0465027062660666</v>
      </c>
      <c r="M7" s="38">
        <f>山石网科IS!E4/(D24+E24)*2</f>
        <v>0.59403347807225726</v>
      </c>
      <c r="N7" s="38"/>
      <c r="O7" s="38"/>
      <c r="P7" s="38">
        <f>AVERAGE(K7:M7,O7)</f>
        <v>1.0019568077086951</v>
      </c>
    </row>
    <row r="8" spans="1:16">
      <c r="A8" s="57" t="s">
        <v>100</v>
      </c>
      <c r="C8" s="239"/>
      <c r="D8" s="239"/>
      <c r="E8" s="239"/>
      <c r="F8" s="239"/>
      <c r="G8" s="61"/>
      <c r="H8" s="61"/>
      <c r="J8" s="56" t="s">
        <v>245</v>
      </c>
      <c r="K8" s="66">
        <f>山石网科IS!C4/(C8+B8+C9+B9+C12+B12)*2</f>
        <v>2.62312881864597</v>
      </c>
      <c r="L8" s="66">
        <f>山石网科IS!D4/(D8+C8+D9+C9+D12+C12)*2</f>
        <v>1.8124360037354428</v>
      </c>
      <c r="M8" s="66">
        <f>山石网科IS!E4/(E8+D8+E9+D9+E12+D12)*2</f>
        <v>1.6503542003469081</v>
      </c>
      <c r="N8" s="66"/>
      <c r="O8" s="66"/>
      <c r="P8" s="66">
        <f>AVERAGE(K8:M8,O8)</f>
        <v>2.0286396742427737</v>
      </c>
    </row>
    <row r="9" spans="1:16">
      <c r="A9" s="57" t="s">
        <v>101</v>
      </c>
      <c r="B9" s="70">
        <v>11523.35348</v>
      </c>
      <c r="C9" s="239">
        <v>21094.318466000001</v>
      </c>
      <c r="D9" s="239">
        <v>32642.222198000003</v>
      </c>
      <c r="E9" s="239">
        <v>41042.234070999999</v>
      </c>
      <c r="F9" s="239">
        <v>46596.362101999999</v>
      </c>
      <c r="G9" s="61"/>
      <c r="H9" s="61"/>
      <c r="J9" s="62"/>
      <c r="K9" s="62"/>
      <c r="L9" s="62"/>
      <c r="M9" s="62"/>
      <c r="N9" s="62"/>
      <c r="O9" s="62"/>
      <c r="P9" s="62"/>
    </row>
    <row r="10" spans="1:16">
      <c r="A10" s="57" t="s">
        <v>102</v>
      </c>
      <c r="B10" s="70">
        <v>241.18946099999999</v>
      </c>
      <c r="C10" s="239">
        <v>364.82005099999998</v>
      </c>
      <c r="D10" s="239">
        <v>254.04334700000001</v>
      </c>
      <c r="E10" s="239">
        <v>660.308538</v>
      </c>
      <c r="F10" s="239">
        <v>996.07215299999996</v>
      </c>
      <c r="G10" s="61"/>
      <c r="H10" s="61"/>
      <c r="J10" s="56" t="s">
        <v>246</v>
      </c>
      <c r="K10" s="64">
        <f>C88/C49</f>
        <v>0.45914182715253649</v>
      </c>
      <c r="L10" s="64">
        <f>D88/D49</f>
        <v>0.44248686117388802</v>
      </c>
      <c r="M10" s="64">
        <f>E88/E49</f>
        <v>0.1513895514093917</v>
      </c>
      <c r="N10" s="64"/>
      <c r="O10" s="64"/>
      <c r="P10" s="64">
        <f>AVERAGE(K10:M10,O10)</f>
        <v>0.35100607991193877</v>
      </c>
    </row>
    <row r="11" spans="1:16">
      <c r="A11" s="57" t="s">
        <v>103</v>
      </c>
      <c r="G11" s="61"/>
      <c r="H11" s="61"/>
      <c r="J11" s="56" t="s">
        <v>247</v>
      </c>
      <c r="K11" s="68">
        <f>山石网科IS!J3</f>
        <v>0</v>
      </c>
      <c r="L11" s="68">
        <f>山石网科IS!K3</f>
        <v>39.061773496273368</v>
      </c>
      <c r="M11" s="68">
        <f>山石网科IS!L3</f>
        <v>37.754239796686996</v>
      </c>
      <c r="N11" s="68"/>
      <c r="O11" s="68"/>
      <c r="P11" s="68">
        <f>AVERAGE(K11:M11,O11)</f>
        <v>25.605337764320122</v>
      </c>
    </row>
    <row r="12" spans="1:16">
      <c r="A12" s="57" t="s">
        <v>104</v>
      </c>
      <c r="B12" s="70">
        <v>2129.6113089999999</v>
      </c>
      <c r="C12" s="239">
        <v>558.53844299999992</v>
      </c>
      <c r="D12" s="239">
        <v>7751.4475920000004</v>
      </c>
      <c r="E12" s="239">
        <v>312.69224500000001</v>
      </c>
      <c r="F12" s="239">
        <v>573.96504299999992</v>
      </c>
      <c r="G12" s="61"/>
      <c r="H12" s="61" t="s">
        <v>744</v>
      </c>
      <c r="J12" s="56" t="s">
        <v>248</v>
      </c>
      <c r="K12" s="64">
        <f>(C24-C15)/C72</f>
        <v>1.9441243831954889</v>
      </c>
      <c r="L12" s="64">
        <f>(D24-D15)/D72</f>
        <v>2.0774752586754337</v>
      </c>
      <c r="M12" s="64">
        <f>(E24-E15)/E72</f>
        <v>6.8226239503405219</v>
      </c>
      <c r="N12" s="64"/>
      <c r="O12" s="64"/>
      <c r="P12" s="64">
        <f>AVERAGE(K12:M12,O12)</f>
        <v>3.6147411974038151</v>
      </c>
    </row>
    <row r="13" spans="1:16">
      <c r="A13" s="57" t="s">
        <v>105</v>
      </c>
      <c r="G13" s="61"/>
      <c r="H13" s="61"/>
    </row>
    <row r="14" spans="1:16">
      <c r="A14" s="57" t="s">
        <v>106</v>
      </c>
      <c r="G14" s="61"/>
      <c r="H14" s="61"/>
      <c r="J14" s="56" t="s">
        <v>249</v>
      </c>
      <c r="K14" s="64">
        <f>山石网科IS!J6</f>
        <v>0.41815182022582231</v>
      </c>
      <c r="L14" s="64">
        <f>山石网科IS!K6</f>
        <v>0.21426705912566413</v>
      </c>
      <c r="M14" s="64">
        <f>山石网科IS!L6</f>
        <v>0.19971284855148719</v>
      </c>
      <c r="N14" s="64"/>
      <c r="O14" s="64"/>
      <c r="P14" s="64">
        <f>AVERAGE(K14:M14,O14)</f>
        <v>0.27737724263432456</v>
      </c>
    </row>
    <row r="15" spans="1:16">
      <c r="A15" s="57" t="s">
        <v>107</v>
      </c>
      <c r="B15" s="70">
        <v>2714.6785970000001</v>
      </c>
      <c r="C15" s="239">
        <v>3470.2455420000001</v>
      </c>
      <c r="D15" s="239">
        <v>5040.7857020000001</v>
      </c>
      <c r="E15" s="239">
        <v>4886.6694450000005</v>
      </c>
      <c r="F15" s="239">
        <v>6963.7095939999999</v>
      </c>
      <c r="G15" s="61"/>
      <c r="H15" s="61"/>
      <c r="J15" s="56" t="s">
        <v>250</v>
      </c>
      <c r="K15" s="65">
        <f>C106/B106-1</f>
        <v>5.2565431577870303E-2</v>
      </c>
      <c r="L15" s="65">
        <f>D106/C106-1</f>
        <v>0.91345675597968246</v>
      </c>
      <c r="M15" s="65">
        <f>E106/D106-1</f>
        <v>2.31207126844699</v>
      </c>
      <c r="N15" s="65"/>
      <c r="O15" s="65"/>
      <c r="P15" s="65">
        <f>AVERAGE(K15:M15,O15)</f>
        <v>1.0926978186681808</v>
      </c>
    </row>
    <row r="16" spans="1:16">
      <c r="A16" s="57" t="s">
        <v>108</v>
      </c>
      <c r="G16" s="61"/>
      <c r="H16" s="61"/>
      <c r="J16" s="56" t="s">
        <v>261</v>
      </c>
      <c r="K16" s="64">
        <f>山石网科IS!J8</f>
        <v>3.3372215810650956</v>
      </c>
      <c r="L16" s="64">
        <f>山石网科IS!K8</f>
        <v>0.28396666168885876</v>
      </c>
      <c r="M16" s="64">
        <f>山石网科IS!L8</f>
        <v>0.19899303348675135</v>
      </c>
      <c r="N16" s="64"/>
      <c r="O16" s="64"/>
      <c r="P16" s="64">
        <f>AVERAGE(K16:M16,O16)</f>
        <v>1.273393758746902</v>
      </c>
    </row>
    <row r="17" spans="1:8">
      <c r="A17" s="57" t="s">
        <v>109</v>
      </c>
      <c r="G17" s="61"/>
      <c r="H17" s="61"/>
    </row>
    <row r="18" spans="1:8">
      <c r="A18" s="57" t="s">
        <v>110</v>
      </c>
      <c r="G18" s="61"/>
      <c r="H18" s="61"/>
    </row>
    <row r="19" spans="1:8">
      <c r="A19" s="57" t="s">
        <v>111</v>
      </c>
      <c r="G19" s="61"/>
      <c r="H19" s="61"/>
    </row>
    <row r="20" spans="1:8">
      <c r="A20" s="57" t="s">
        <v>112</v>
      </c>
      <c r="B20" s="70">
        <v>1760.796482</v>
      </c>
      <c r="C20" s="239">
        <v>5562.2104669999999</v>
      </c>
      <c r="D20" s="239">
        <v>2229.7525930000002</v>
      </c>
      <c r="E20" s="239">
        <v>2647.68136</v>
      </c>
      <c r="F20" s="239">
        <v>1292.7617419999999</v>
      </c>
      <c r="G20" s="61">
        <f>F20</f>
        <v>1292.7617419999999</v>
      </c>
      <c r="H20" s="61" t="s">
        <v>745</v>
      </c>
    </row>
    <row r="21" spans="1:8">
      <c r="A21" s="57" t="s">
        <v>113</v>
      </c>
      <c r="G21" s="61"/>
      <c r="H21" s="61"/>
    </row>
    <row r="22" spans="1:8">
      <c r="A22" s="57" t="s">
        <v>114</v>
      </c>
      <c r="G22" s="61"/>
      <c r="H22" s="61"/>
    </row>
    <row r="23" spans="1:8">
      <c r="A23" s="57" t="s">
        <v>115</v>
      </c>
      <c r="G23" s="61"/>
      <c r="H23" s="61"/>
    </row>
    <row r="24" spans="1:8">
      <c r="A24" s="60" t="s">
        <v>116</v>
      </c>
      <c r="B24" s="244">
        <f t="shared" ref="B24:G24" si="0">SUM(B5:B23)</f>
        <v>30421.012392000001</v>
      </c>
      <c r="C24" s="244">
        <f t="shared" si="0"/>
        <v>37409.791034000002</v>
      </c>
      <c r="D24" s="244">
        <f t="shared" si="0"/>
        <v>70048.468005999996</v>
      </c>
      <c r="E24" s="244">
        <f t="shared" si="0"/>
        <v>157066.911743</v>
      </c>
      <c r="F24" s="244">
        <f t="shared" si="0"/>
        <v>151493.06816000002</v>
      </c>
      <c r="G24" s="244">
        <f t="shared" si="0"/>
        <v>68812.761742000002</v>
      </c>
      <c r="H24" s="101"/>
    </row>
    <row r="25" spans="1:8">
      <c r="A25" s="60" t="s">
        <v>117</v>
      </c>
      <c r="B25" s="244"/>
      <c r="C25" s="104" t="s">
        <v>49</v>
      </c>
      <c r="D25" s="104" t="s">
        <v>49</v>
      </c>
      <c r="E25" s="104" t="s">
        <v>49</v>
      </c>
      <c r="F25" s="104" t="s">
        <v>49</v>
      </c>
      <c r="G25" s="58"/>
      <c r="H25" s="58"/>
    </row>
    <row r="26" spans="1:8">
      <c r="A26" s="57" t="s">
        <v>118</v>
      </c>
      <c r="G26" s="61"/>
      <c r="H26" s="61"/>
    </row>
    <row r="27" spans="1:8">
      <c r="A27" s="57" t="s">
        <v>119</v>
      </c>
      <c r="G27" s="61"/>
      <c r="H27" s="61"/>
    </row>
    <row r="28" spans="1:8">
      <c r="A28" s="57" t="s">
        <v>120</v>
      </c>
      <c r="G28" s="61"/>
      <c r="H28" s="61"/>
    </row>
    <row r="29" spans="1:8">
      <c r="A29" s="57" t="s">
        <v>121</v>
      </c>
      <c r="G29" s="61"/>
      <c r="H29" s="61"/>
    </row>
    <row r="30" spans="1:8">
      <c r="A30" s="57" t="s">
        <v>122</v>
      </c>
      <c r="B30" s="70">
        <v>0</v>
      </c>
      <c r="C30" s="239">
        <v>0</v>
      </c>
      <c r="D30" s="239">
        <v>0</v>
      </c>
      <c r="E30" s="239">
        <v>0</v>
      </c>
      <c r="F30" s="239">
        <v>997.56560899999999</v>
      </c>
      <c r="G30" s="61">
        <f>F30</f>
        <v>997.56560899999999</v>
      </c>
      <c r="H30" s="61"/>
    </row>
    <row r="31" spans="1:8">
      <c r="A31" s="57" t="s">
        <v>123</v>
      </c>
      <c r="G31" s="61"/>
      <c r="H31" s="61"/>
    </row>
    <row r="32" spans="1:8">
      <c r="A32" s="57" t="s">
        <v>124</v>
      </c>
      <c r="B32" s="70">
        <v>1362.54367</v>
      </c>
      <c r="C32" s="239">
        <v>2347.3698469999999</v>
      </c>
      <c r="D32" s="239">
        <v>3370.723947</v>
      </c>
      <c r="E32" s="239">
        <v>3929.8485770000002</v>
      </c>
      <c r="F32" s="239">
        <v>5214.5024569999996</v>
      </c>
      <c r="G32" s="61"/>
      <c r="H32" s="61"/>
    </row>
    <row r="33" spans="1:8">
      <c r="A33" s="57" t="s">
        <v>125</v>
      </c>
      <c r="G33" s="61"/>
      <c r="H33" s="61"/>
    </row>
    <row r="34" spans="1:8">
      <c r="A34" s="57" t="s">
        <v>126</v>
      </c>
      <c r="G34" s="61"/>
      <c r="H34" s="61"/>
    </row>
    <row r="35" spans="1:8">
      <c r="A35" s="57" t="s">
        <v>127</v>
      </c>
      <c r="G35" s="61"/>
      <c r="H35" s="61"/>
    </row>
    <row r="36" spans="1:8">
      <c r="A36" s="57" t="s">
        <v>128</v>
      </c>
      <c r="G36" s="61"/>
      <c r="H36" s="61"/>
    </row>
    <row r="37" spans="1:8">
      <c r="A37" s="57" t="s">
        <v>129</v>
      </c>
      <c r="G37" s="61"/>
      <c r="H37" s="61"/>
    </row>
    <row r="38" spans="1:8">
      <c r="A38" s="57" t="s">
        <v>130</v>
      </c>
      <c r="B38" s="70">
        <v>127.14193999999999</v>
      </c>
      <c r="C38" s="239">
        <v>103.96126700000001</v>
      </c>
      <c r="D38" s="239">
        <v>520.99787800000001</v>
      </c>
      <c r="E38" s="239">
        <v>537.96783099999993</v>
      </c>
      <c r="F38" s="239">
        <v>1024.4126859999999</v>
      </c>
      <c r="G38" s="61"/>
      <c r="H38" s="61"/>
    </row>
    <row r="39" spans="1:8">
      <c r="A39" s="57" t="s">
        <v>131</v>
      </c>
      <c r="G39" s="61"/>
      <c r="H39" s="61"/>
    </row>
    <row r="40" spans="1:8">
      <c r="A40" s="57" t="s">
        <v>132</v>
      </c>
      <c r="G40" s="61"/>
      <c r="H40" s="61"/>
    </row>
    <row r="41" spans="1:8">
      <c r="A41" s="57" t="s">
        <v>133</v>
      </c>
      <c r="B41" s="70">
        <v>261.05666600000001</v>
      </c>
      <c r="C41" s="239">
        <v>173.20355499999999</v>
      </c>
      <c r="D41" s="239">
        <v>144.20780300000001</v>
      </c>
      <c r="E41" s="239">
        <v>59.130115000000004</v>
      </c>
      <c r="F41" s="239">
        <v>357.88410800000003</v>
      </c>
      <c r="G41" s="61"/>
      <c r="H41" s="61"/>
    </row>
    <row r="42" spans="1:8">
      <c r="A42" s="57" t="s">
        <v>134</v>
      </c>
      <c r="B42" s="70">
        <v>128.33126000000001</v>
      </c>
      <c r="C42" s="239">
        <v>194.82960299999999</v>
      </c>
      <c r="D42" s="239">
        <v>592.77303800000004</v>
      </c>
      <c r="E42" s="239">
        <v>898.99347299999999</v>
      </c>
      <c r="F42" s="239">
        <v>1118.176813</v>
      </c>
      <c r="G42" s="61">
        <f>F42</f>
        <v>1118.176813</v>
      </c>
      <c r="H42" s="61"/>
    </row>
    <row r="43" spans="1:8">
      <c r="A43" s="57" t="s">
        <v>135</v>
      </c>
      <c r="G43" s="61"/>
      <c r="H43" s="61"/>
    </row>
    <row r="44" spans="1:8">
      <c r="A44" s="57" t="s">
        <v>136</v>
      </c>
      <c r="G44" s="61"/>
      <c r="H44" s="61"/>
    </row>
    <row r="45" spans="1:8">
      <c r="A45" s="57" t="s">
        <v>137</v>
      </c>
      <c r="G45" s="61"/>
      <c r="H45" s="61"/>
    </row>
    <row r="46" spans="1:8">
      <c r="A46" s="60" t="s">
        <v>138</v>
      </c>
      <c r="B46" s="244">
        <f t="shared" ref="B46:G46" si="1">SUM(B26:B45)</f>
        <v>1879.0735359999999</v>
      </c>
      <c r="C46" s="244">
        <f t="shared" si="1"/>
        <v>2819.3642720000003</v>
      </c>
      <c r="D46" s="244">
        <f t="shared" si="1"/>
        <v>4628.7026660000001</v>
      </c>
      <c r="E46" s="244">
        <f t="shared" si="1"/>
        <v>5425.939996000001</v>
      </c>
      <c r="F46" s="244">
        <f t="shared" si="1"/>
        <v>8712.5416729999997</v>
      </c>
      <c r="G46" s="244">
        <f t="shared" si="1"/>
        <v>2115.7424220000003</v>
      </c>
      <c r="H46" s="101"/>
    </row>
    <row r="47" spans="1:8">
      <c r="A47" s="57" t="s">
        <v>139</v>
      </c>
      <c r="G47" s="61"/>
      <c r="H47" s="61"/>
    </row>
    <row r="48" spans="1:8">
      <c r="A48" s="57" t="s">
        <v>140</v>
      </c>
      <c r="G48" s="61"/>
      <c r="H48" s="61"/>
    </row>
    <row r="49" spans="1:8">
      <c r="A49" s="60" t="s">
        <v>12</v>
      </c>
      <c r="B49" s="244">
        <f t="shared" ref="B49:F49" si="2">B46+B24</f>
        <v>32300.085928</v>
      </c>
      <c r="C49" s="244">
        <f t="shared" si="2"/>
        <v>40229.155306000001</v>
      </c>
      <c r="D49" s="244">
        <f t="shared" si="2"/>
        <v>74677.170671999993</v>
      </c>
      <c r="E49" s="244">
        <f t="shared" si="2"/>
        <v>162492.85173900001</v>
      </c>
      <c r="F49" s="244">
        <f t="shared" si="2"/>
        <v>160205.60983300002</v>
      </c>
      <c r="G49" s="244">
        <f>G46+G24</f>
        <v>70928.504163999998</v>
      </c>
      <c r="H49" s="101"/>
    </row>
    <row r="50" spans="1:8">
      <c r="A50" s="60" t="s">
        <v>141</v>
      </c>
      <c r="B50" s="244"/>
      <c r="C50" s="104" t="s">
        <v>49</v>
      </c>
      <c r="D50" s="104" t="s">
        <v>49</v>
      </c>
      <c r="E50" s="104" t="s">
        <v>49</v>
      </c>
      <c r="F50" s="104" t="s">
        <v>49</v>
      </c>
      <c r="G50" s="58"/>
      <c r="H50" s="58"/>
    </row>
    <row r="51" spans="1:8">
      <c r="A51" s="57" t="s">
        <v>142</v>
      </c>
      <c r="B51" s="70">
        <v>0</v>
      </c>
      <c r="C51" s="239">
        <v>0</v>
      </c>
      <c r="D51" s="239">
        <v>2000</v>
      </c>
      <c r="E51" s="239">
        <v>1000</v>
      </c>
      <c r="F51" s="239">
        <v>0</v>
      </c>
      <c r="G51" s="61"/>
      <c r="H51" s="61"/>
    </row>
    <row r="52" spans="1:8">
      <c r="A52" s="57" t="s">
        <v>143</v>
      </c>
      <c r="G52" s="61"/>
      <c r="H52" s="61"/>
    </row>
    <row r="53" spans="1:8">
      <c r="A53" s="57" t="s">
        <v>144</v>
      </c>
      <c r="G53" s="61"/>
      <c r="H53" s="61"/>
    </row>
    <row r="54" spans="1:8">
      <c r="G54" s="61"/>
      <c r="H54" s="61"/>
    </row>
    <row r="55" spans="1:8">
      <c r="A55" s="102" t="s">
        <v>302</v>
      </c>
      <c r="B55" s="239">
        <v>2663.7918059999997</v>
      </c>
      <c r="C55" s="239">
        <v>3112.5502000000001</v>
      </c>
      <c r="D55" s="239">
        <v>5003.7964069999998</v>
      </c>
      <c r="E55" s="239">
        <v>4891.9063509999996</v>
      </c>
      <c r="F55" s="239">
        <v>13010.522062</v>
      </c>
      <c r="G55" s="61"/>
      <c r="H55" s="61"/>
    </row>
    <row r="56" spans="1:8">
      <c r="A56" s="57" t="s">
        <v>147</v>
      </c>
      <c r="B56" s="70">
        <v>1727.73669</v>
      </c>
      <c r="C56" s="239">
        <v>766.58694100000002</v>
      </c>
      <c r="D56" s="239">
        <v>560.39704500000005</v>
      </c>
      <c r="E56" s="239">
        <v>569.27803200000005</v>
      </c>
      <c r="F56" s="239">
        <v>0</v>
      </c>
      <c r="G56" s="61"/>
      <c r="H56" s="61"/>
    </row>
    <row r="57" spans="1:8">
      <c r="A57" s="102" t="s">
        <v>737</v>
      </c>
      <c r="B57" s="239"/>
      <c r="C57" s="239">
        <v>0</v>
      </c>
      <c r="D57" s="239">
        <v>0</v>
      </c>
      <c r="E57" s="239">
        <v>0</v>
      </c>
      <c r="F57" s="239">
        <v>1948.4577280000001</v>
      </c>
      <c r="G57" s="61"/>
      <c r="H57" s="61"/>
    </row>
    <row r="58" spans="1:8">
      <c r="A58" s="57" t="s">
        <v>148</v>
      </c>
      <c r="B58" s="70">
        <v>2167.3470560000001</v>
      </c>
      <c r="C58" s="239">
        <v>3220.683681</v>
      </c>
      <c r="D58" s="239">
        <v>3961.5708210000003</v>
      </c>
      <c r="E58" s="239">
        <v>4691.0108799999998</v>
      </c>
      <c r="F58" s="239">
        <v>3979.4600600000003</v>
      </c>
      <c r="G58" s="61"/>
      <c r="H58" s="61"/>
    </row>
    <row r="59" spans="1:8">
      <c r="A59" s="57" t="s">
        <v>149</v>
      </c>
      <c r="B59" s="70">
        <v>512.72519199999999</v>
      </c>
      <c r="C59" s="239">
        <v>704.36960299999998</v>
      </c>
      <c r="D59" s="239">
        <v>1828.9356319999999</v>
      </c>
      <c r="E59" s="239">
        <v>857.708842</v>
      </c>
      <c r="F59" s="239">
        <v>444.72011799999996</v>
      </c>
      <c r="G59" s="61"/>
      <c r="H59" s="61"/>
    </row>
    <row r="60" spans="1:8">
      <c r="A60" s="57" t="s">
        <v>150</v>
      </c>
      <c r="C60" s="239"/>
      <c r="D60" s="239"/>
      <c r="E60" s="239"/>
      <c r="F60" s="239"/>
      <c r="G60" s="61"/>
      <c r="H60" s="61"/>
    </row>
    <row r="61" spans="1:8">
      <c r="A61" s="57" t="s">
        <v>151</v>
      </c>
      <c r="G61" s="61"/>
      <c r="H61" s="61"/>
    </row>
    <row r="62" spans="1:8">
      <c r="A62" s="57" t="s">
        <v>152</v>
      </c>
      <c r="B62" s="70">
        <v>1640.2969539999999</v>
      </c>
      <c r="C62" s="239">
        <v>5425.4978860000001</v>
      </c>
      <c r="D62" s="239">
        <v>10586.134633</v>
      </c>
      <c r="E62" s="239">
        <v>3798.1299880000001</v>
      </c>
      <c r="F62" s="239">
        <v>2302.6347289999999</v>
      </c>
      <c r="G62" s="61"/>
      <c r="H62" s="61"/>
    </row>
    <row r="63" spans="1:8">
      <c r="A63" s="57" t="s">
        <v>153</v>
      </c>
      <c r="G63" s="61"/>
      <c r="H63" s="61"/>
    </row>
    <row r="64" spans="1:8">
      <c r="A64" s="57" t="s">
        <v>154</v>
      </c>
      <c r="G64" s="61"/>
      <c r="H64" s="61"/>
    </row>
    <row r="65" spans="1:8">
      <c r="A65" s="57" t="s">
        <v>155</v>
      </c>
      <c r="G65" s="61"/>
      <c r="H65" s="61"/>
    </row>
    <row r="66" spans="1:8">
      <c r="A66" s="57" t="s">
        <v>156</v>
      </c>
      <c r="G66" s="61"/>
      <c r="H66" s="61"/>
    </row>
    <row r="67" spans="1:8">
      <c r="A67" s="57" t="s">
        <v>157</v>
      </c>
      <c r="G67" s="61"/>
      <c r="H67" s="61"/>
    </row>
    <row r="68" spans="1:8">
      <c r="A68" s="57" t="s">
        <v>158</v>
      </c>
      <c r="B68" s="70">
        <v>2113.3194039999998</v>
      </c>
      <c r="C68" s="239">
        <v>4227.8086400000002</v>
      </c>
      <c r="D68" s="239">
        <v>7350.8412749999998</v>
      </c>
      <c r="E68" s="239">
        <v>6497.2026320000004</v>
      </c>
      <c r="F68" s="239">
        <v>5225.365914</v>
      </c>
      <c r="G68" s="61"/>
      <c r="H68" s="61"/>
    </row>
    <row r="69" spans="1:8">
      <c r="A69" s="57" t="s">
        <v>159</v>
      </c>
      <c r="G69" s="61"/>
      <c r="H69" s="61"/>
    </row>
    <row r="70" spans="1:8">
      <c r="A70" s="57" t="s">
        <v>160</v>
      </c>
      <c r="G70" s="61"/>
      <c r="H70" s="61"/>
    </row>
    <row r="71" spans="1:8">
      <c r="A71" s="57" t="s">
        <v>161</v>
      </c>
      <c r="G71" s="61"/>
      <c r="H71" s="61"/>
    </row>
    <row r="72" spans="1:8">
      <c r="A72" s="60" t="s">
        <v>162</v>
      </c>
      <c r="B72" s="244">
        <f t="shared" ref="B72:G72" si="3">SUM(B51:B71)</f>
        <v>10825.217101999999</v>
      </c>
      <c r="C72" s="244">
        <f t="shared" si="3"/>
        <v>17457.496951000001</v>
      </c>
      <c r="D72" s="244">
        <f t="shared" si="3"/>
        <v>31291.675813000002</v>
      </c>
      <c r="E72" s="244">
        <f t="shared" si="3"/>
        <v>22305.236725000002</v>
      </c>
      <c r="F72" s="244">
        <f t="shared" si="3"/>
        <v>26911.160610999999</v>
      </c>
      <c r="G72" s="244">
        <f t="shared" si="3"/>
        <v>0</v>
      </c>
      <c r="H72" s="101"/>
    </row>
    <row r="73" spans="1:8">
      <c r="A73" s="60" t="s">
        <v>163</v>
      </c>
      <c r="B73" s="244"/>
      <c r="C73" s="104" t="s">
        <v>49</v>
      </c>
      <c r="D73" s="104" t="s">
        <v>49</v>
      </c>
      <c r="E73" s="104" t="s">
        <v>49</v>
      </c>
      <c r="F73" s="104" t="s">
        <v>49</v>
      </c>
      <c r="G73" s="58"/>
      <c r="H73" s="58"/>
    </row>
    <row r="74" spans="1:8">
      <c r="A74" s="57" t="s">
        <v>164</v>
      </c>
      <c r="G74" s="61"/>
      <c r="H74" s="61"/>
    </row>
    <row r="75" spans="1:8">
      <c r="A75" s="57" t="s">
        <v>165</v>
      </c>
      <c r="G75" s="61"/>
      <c r="H75" s="61"/>
    </row>
    <row r="76" spans="1:8">
      <c r="A76" s="57" t="s">
        <v>166</v>
      </c>
      <c r="G76" s="61"/>
      <c r="H76" s="61"/>
    </row>
    <row r="77" spans="1:8">
      <c r="A77" s="57" t="s">
        <v>167</v>
      </c>
      <c r="G77" s="61"/>
      <c r="H77" s="61"/>
    </row>
    <row r="78" spans="1:8">
      <c r="A78" s="57" t="s">
        <v>168</v>
      </c>
      <c r="G78" s="61"/>
      <c r="H78" s="61"/>
    </row>
    <row r="79" spans="1:8">
      <c r="A79" s="57" t="s">
        <v>169</v>
      </c>
      <c r="B79" s="70">
        <v>803.21575700000005</v>
      </c>
      <c r="C79" s="239">
        <v>1013.390921</v>
      </c>
      <c r="D79" s="239">
        <v>1751.991039</v>
      </c>
      <c r="E79" s="239">
        <v>2294.4832070000002</v>
      </c>
      <c r="F79" s="239">
        <v>1599.2313570000001</v>
      </c>
      <c r="G79" s="61"/>
      <c r="H79" s="61"/>
    </row>
    <row r="80" spans="1:8">
      <c r="A80" s="57" t="s">
        <v>170</v>
      </c>
      <c r="G80" s="61"/>
      <c r="H80" s="61"/>
    </row>
    <row r="81" spans="1:8">
      <c r="A81" s="57" t="s">
        <v>171</v>
      </c>
      <c r="G81" s="61"/>
      <c r="H81" s="61"/>
    </row>
    <row r="82" spans="1:8">
      <c r="A82" s="57" t="s">
        <v>172</v>
      </c>
      <c r="G82" s="61"/>
      <c r="H82" s="61"/>
    </row>
    <row r="83" spans="1:8">
      <c r="A83" s="57" t="s">
        <v>173</v>
      </c>
      <c r="G83" s="61"/>
      <c r="H83" s="61"/>
    </row>
    <row r="84" spans="1:8">
      <c r="A84" s="57" t="s">
        <v>174</v>
      </c>
      <c r="G84" s="61"/>
      <c r="H84" s="61"/>
    </row>
    <row r="85" spans="1:8">
      <c r="A85" s="60" t="s">
        <v>175</v>
      </c>
      <c r="B85" s="244">
        <f t="shared" ref="B85:G85" si="4">SUM(B74:B84)</f>
        <v>803.21575700000005</v>
      </c>
      <c r="C85" s="244">
        <f t="shared" si="4"/>
        <v>1013.390921</v>
      </c>
      <c r="D85" s="244">
        <f t="shared" si="4"/>
        <v>1751.991039</v>
      </c>
      <c r="E85" s="244">
        <f t="shared" si="4"/>
        <v>2294.4832070000002</v>
      </c>
      <c r="F85" s="244">
        <f t="shared" si="4"/>
        <v>1599.2313570000001</v>
      </c>
      <c r="G85" s="244">
        <f t="shared" si="4"/>
        <v>0</v>
      </c>
      <c r="H85" s="101"/>
    </row>
    <row r="86" spans="1:8">
      <c r="A86" s="57" t="s">
        <v>176</v>
      </c>
      <c r="G86" s="70"/>
      <c r="H86" s="61"/>
    </row>
    <row r="87" spans="1:8">
      <c r="A87" s="57" t="s">
        <v>177</v>
      </c>
      <c r="C87" s="244"/>
      <c r="D87" s="244"/>
      <c r="E87" s="244"/>
      <c r="F87" s="244"/>
      <c r="G87" s="244"/>
      <c r="H87" s="101"/>
    </row>
    <row r="88" spans="1:8">
      <c r="A88" s="60" t="s">
        <v>178</v>
      </c>
      <c r="B88" s="244">
        <f t="shared" ref="B88:G88" si="5">B85+B72</f>
        <v>11628.432858999999</v>
      </c>
      <c r="C88" s="244">
        <f t="shared" si="5"/>
        <v>18470.887871999999</v>
      </c>
      <c r="D88" s="244">
        <f t="shared" si="5"/>
        <v>33043.666852000002</v>
      </c>
      <c r="E88" s="244">
        <f t="shared" si="5"/>
        <v>24599.719932000004</v>
      </c>
      <c r="F88" s="244">
        <f t="shared" si="5"/>
        <v>28510.391968</v>
      </c>
      <c r="G88" s="244">
        <f t="shared" si="5"/>
        <v>0</v>
      </c>
      <c r="H88" s="101"/>
    </row>
    <row r="89" spans="1:8">
      <c r="A89" s="60" t="s">
        <v>58</v>
      </c>
      <c r="B89" s="244"/>
      <c r="C89" s="104"/>
      <c r="D89" s="104"/>
      <c r="E89" s="104"/>
      <c r="F89" s="104"/>
      <c r="G89" s="58"/>
      <c r="H89" s="58"/>
    </row>
    <row r="90" spans="1:8">
      <c r="A90" s="57" t="s">
        <v>179</v>
      </c>
      <c r="B90" s="70">
        <v>11256.780009999999</v>
      </c>
      <c r="C90" s="239">
        <v>11256.780009999999</v>
      </c>
      <c r="D90" s="239">
        <v>13516.7454</v>
      </c>
      <c r="E90" s="239">
        <v>18022.345399999998</v>
      </c>
      <c r="F90" s="239">
        <v>18022.345399999998</v>
      </c>
      <c r="G90" s="61"/>
      <c r="H90" s="61"/>
    </row>
    <row r="91" spans="1:8">
      <c r="A91" s="57" t="s">
        <v>180</v>
      </c>
      <c r="C91" s="239"/>
      <c r="D91" s="239"/>
      <c r="E91" s="239"/>
      <c r="F91" s="239"/>
      <c r="G91" s="61"/>
      <c r="H91" s="61"/>
    </row>
    <row r="92" spans="1:8">
      <c r="A92" s="57" t="s">
        <v>181</v>
      </c>
      <c r="G92" s="61"/>
      <c r="H92" s="61"/>
    </row>
    <row r="93" spans="1:8">
      <c r="A93" s="57" t="s">
        <v>182</v>
      </c>
      <c r="B93" s="70">
        <v>40273.896007999996</v>
      </c>
      <c r="C93" s="239">
        <v>39284.247288999999</v>
      </c>
      <c r="D93" s="239">
        <v>39586.758989999995</v>
      </c>
      <c r="E93" s="239">
        <v>122245.093182</v>
      </c>
      <c r="F93" s="239">
        <v>122817.50787999999</v>
      </c>
      <c r="G93" s="61"/>
      <c r="H93" s="61"/>
    </row>
    <row r="94" spans="1:8">
      <c r="A94" s="57" t="s">
        <v>183</v>
      </c>
      <c r="B94" s="239">
        <v>-11256.78001</v>
      </c>
      <c r="C94" s="239">
        <v>-11256.78001</v>
      </c>
      <c r="D94" s="239">
        <v>0</v>
      </c>
      <c r="E94" s="239">
        <v>0</v>
      </c>
      <c r="F94" s="239">
        <v>0</v>
      </c>
      <c r="G94" s="61"/>
      <c r="H94" s="61"/>
    </row>
    <row r="95" spans="1:8">
      <c r="A95" s="57" t="s">
        <v>184</v>
      </c>
      <c r="B95" s="70">
        <v>-284.37991199999999</v>
      </c>
      <c r="C95" s="239">
        <v>-486.241737</v>
      </c>
      <c r="D95" s="239">
        <v>871.16005600000005</v>
      </c>
      <c r="E95" s="239">
        <v>862.24587499999996</v>
      </c>
      <c r="F95" s="239">
        <v>868.58409000000006</v>
      </c>
      <c r="G95" s="61"/>
      <c r="H95" s="61"/>
    </row>
    <row r="96" spans="1:8">
      <c r="A96" s="57" t="s">
        <v>185</v>
      </c>
      <c r="G96" s="61"/>
      <c r="H96" s="61"/>
    </row>
    <row r="97" spans="1:8">
      <c r="A97" s="57" t="s">
        <v>186</v>
      </c>
      <c r="B97" s="70">
        <v>607.88955399999998</v>
      </c>
      <c r="C97" s="239">
        <v>0</v>
      </c>
      <c r="D97" s="239">
        <v>1007.3026970000001</v>
      </c>
      <c r="E97" s="239">
        <v>1729.7303260000001</v>
      </c>
      <c r="F97" s="239">
        <v>1728.6352160000001</v>
      </c>
      <c r="G97" s="61"/>
      <c r="H97" s="61"/>
    </row>
    <row r="98" spans="1:8">
      <c r="A98" s="57" t="s">
        <v>187</v>
      </c>
      <c r="G98" s="61"/>
      <c r="H98" s="61"/>
    </row>
    <row r="99" spans="1:8">
      <c r="A99" s="57" t="s">
        <v>188</v>
      </c>
      <c r="B99" s="70">
        <v>-19925.752581000001</v>
      </c>
      <c r="C99" s="239">
        <v>-17039.738118000001</v>
      </c>
      <c r="D99" s="239">
        <v>-13348.463323</v>
      </c>
      <c r="E99" s="239">
        <v>-4966.2829759999995</v>
      </c>
      <c r="F99" s="239">
        <v>-11741.854721</v>
      </c>
      <c r="G99" s="61"/>
      <c r="H99" s="61"/>
    </row>
    <row r="100" spans="1:8">
      <c r="A100" s="57" t="s">
        <v>189</v>
      </c>
      <c r="G100" s="61"/>
      <c r="H100" s="61"/>
    </row>
    <row r="101" spans="1:8">
      <c r="A101" s="57" t="s">
        <v>190</v>
      </c>
      <c r="G101" s="61"/>
      <c r="H101" s="61"/>
    </row>
    <row r="102" spans="1:8">
      <c r="A102" s="57" t="s">
        <v>191</v>
      </c>
      <c r="G102" s="61"/>
      <c r="H102" s="61"/>
    </row>
    <row r="103" spans="1:8">
      <c r="A103" s="57" t="s">
        <v>192</v>
      </c>
      <c r="G103" s="61"/>
      <c r="H103" s="61"/>
    </row>
    <row r="104" spans="1:8">
      <c r="A104" s="60" t="s">
        <v>193</v>
      </c>
      <c r="B104" s="244">
        <f t="shared" ref="B104:G104" si="6">SUM(B90:B103)</f>
        <v>20671.653069</v>
      </c>
      <c r="C104" s="244">
        <f t="shared" si="6"/>
        <v>21758.267433999994</v>
      </c>
      <c r="D104" s="244">
        <f t="shared" si="6"/>
        <v>41633.503819999998</v>
      </c>
      <c r="E104" s="244">
        <f t="shared" si="6"/>
        <v>137893.131807</v>
      </c>
      <c r="F104" s="244">
        <f t="shared" si="6"/>
        <v>131695.21786499996</v>
      </c>
      <c r="G104" s="244">
        <f t="shared" si="6"/>
        <v>0</v>
      </c>
      <c r="H104" s="61"/>
    </row>
    <row r="105" spans="1:8">
      <c r="A105" s="57" t="s">
        <v>194</v>
      </c>
      <c r="C105" s="70">
        <v>0</v>
      </c>
      <c r="D105" s="70">
        <v>0</v>
      </c>
      <c r="E105" s="70">
        <v>0</v>
      </c>
      <c r="F105" s="70">
        <v>0</v>
      </c>
      <c r="G105" s="70">
        <v>0</v>
      </c>
      <c r="H105" s="61"/>
    </row>
    <row r="106" spans="1:8">
      <c r="A106" s="60" t="s">
        <v>195</v>
      </c>
      <c r="B106" s="244">
        <f t="shared" ref="B106:G106" si="7">B104+B105</f>
        <v>20671.653069</v>
      </c>
      <c r="C106" s="244">
        <f t="shared" si="7"/>
        <v>21758.267433999994</v>
      </c>
      <c r="D106" s="244">
        <f t="shared" si="7"/>
        <v>41633.503819999998</v>
      </c>
      <c r="E106" s="244">
        <f t="shared" si="7"/>
        <v>137893.131807</v>
      </c>
      <c r="F106" s="244">
        <f t="shared" si="7"/>
        <v>131695.21786499996</v>
      </c>
      <c r="G106" s="244">
        <f t="shared" si="7"/>
        <v>0</v>
      </c>
      <c r="H106" s="61"/>
    </row>
    <row r="107" spans="1:8">
      <c r="A107" s="57" t="s">
        <v>196</v>
      </c>
      <c r="G107" s="61"/>
      <c r="H107" s="61"/>
    </row>
    <row r="108" spans="1:8">
      <c r="A108" s="57" t="s">
        <v>197</v>
      </c>
      <c r="G108" s="61"/>
      <c r="H108" s="61"/>
    </row>
    <row r="109" spans="1:8">
      <c r="A109" s="57" t="s">
        <v>198</v>
      </c>
      <c r="B109" s="70">
        <f>B106+B88</f>
        <v>32300.085928</v>
      </c>
      <c r="C109" s="70">
        <f>C106+C88</f>
        <v>40229.155305999993</v>
      </c>
      <c r="D109" s="70">
        <f>D106+D88</f>
        <v>74677.170672000007</v>
      </c>
      <c r="E109" s="70">
        <f>E106+E88</f>
        <v>162492.85173900001</v>
      </c>
      <c r="F109" s="70">
        <f>F106+F88</f>
        <v>160205.60983299997</v>
      </c>
      <c r="G109" s="61"/>
      <c r="H109" s="61"/>
    </row>
    <row r="110" spans="1:8">
      <c r="C110" s="104"/>
      <c r="D110" s="104"/>
      <c r="E110" s="104"/>
      <c r="F110" s="104"/>
      <c r="G110" s="58"/>
      <c r="H110" s="58"/>
    </row>
    <row r="111" spans="1:8" ht="12.75" customHeight="1">
      <c r="A111" s="57" t="s">
        <v>741</v>
      </c>
      <c r="C111" s="104"/>
      <c r="D111" s="104"/>
      <c r="E111" s="104"/>
      <c r="F111" s="104"/>
      <c r="G111" s="251">
        <f>G49-G88</f>
        <v>70928.504163999998</v>
      </c>
      <c r="H111" s="58"/>
    </row>
    <row r="112" spans="1:8">
      <c r="A112" s="57" t="s">
        <v>746</v>
      </c>
      <c r="C112" s="104"/>
      <c r="D112" s="104"/>
      <c r="E112" s="104"/>
      <c r="F112" s="104"/>
      <c r="G112" s="58"/>
      <c r="H112" s="58"/>
    </row>
    <row r="113" spans="1:8">
      <c r="C113" s="104"/>
      <c r="D113" s="104"/>
      <c r="E113" s="104"/>
      <c r="F113" s="104"/>
      <c r="G113" s="58"/>
      <c r="H113" s="58"/>
    </row>
    <row r="114" spans="1:8">
      <c r="C114" s="104"/>
      <c r="D114" s="104"/>
      <c r="E114" s="104"/>
      <c r="F114" s="104"/>
      <c r="G114" s="58"/>
      <c r="H114" s="58"/>
    </row>
    <row r="115" spans="1:8">
      <c r="C115" s="104"/>
      <c r="D115" s="104"/>
      <c r="E115" s="104"/>
      <c r="F115" s="104"/>
      <c r="G115" s="58"/>
      <c r="H115" s="58"/>
    </row>
    <row r="116" spans="1:8">
      <c r="C116" s="104"/>
      <c r="D116" s="104"/>
      <c r="E116" s="104"/>
      <c r="F116" s="104"/>
      <c r="G116" s="58"/>
      <c r="H116" s="58"/>
    </row>
    <row r="117" spans="1:8">
      <c r="C117" s="104"/>
      <c r="D117" s="104"/>
      <c r="E117" s="104"/>
      <c r="F117" s="104"/>
      <c r="G117" s="58"/>
      <c r="H117" s="58"/>
    </row>
    <row r="121" spans="1:8">
      <c r="A121" s="57" t="s">
        <v>199</v>
      </c>
    </row>
  </sheetData>
  <phoneticPr fontId="2" type="noConversion"/>
  <conditionalFormatting sqref="A55:B55">
    <cfRule type="cellIs" dxfId="216" priority="29" stopIfTrue="1" operator="lessThan">
      <formula>0</formula>
    </cfRule>
  </conditionalFormatting>
  <conditionalFormatting sqref="C5:F5">
    <cfRule type="cellIs" dxfId="215" priority="28" stopIfTrue="1" operator="lessThan">
      <formula>0</formula>
    </cfRule>
  </conditionalFormatting>
  <conditionalFormatting sqref="C8:F8">
    <cfRule type="cellIs" dxfId="214" priority="27" stopIfTrue="1" operator="lessThan">
      <formula>0</formula>
    </cfRule>
  </conditionalFormatting>
  <conditionalFormatting sqref="C9:F9">
    <cfRule type="cellIs" dxfId="213" priority="26" stopIfTrue="1" operator="lessThan">
      <formula>0</formula>
    </cfRule>
  </conditionalFormatting>
  <conditionalFormatting sqref="C10:F10">
    <cfRule type="cellIs" dxfId="212" priority="25" stopIfTrue="1" operator="lessThan">
      <formula>0</formula>
    </cfRule>
  </conditionalFormatting>
  <conditionalFormatting sqref="C12:F12">
    <cfRule type="cellIs" dxfId="211" priority="24" stopIfTrue="1" operator="lessThan">
      <formula>0</formula>
    </cfRule>
  </conditionalFormatting>
  <conditionalFormatting sqref="C15:F15">
    <cfRule type="cellIs" dxfId="210" priority="23" stopIfTrue="1" operator="lessThan">
      <formula>0</formula>
    </cfRule>
  </conditionalFormatting>
  <conditionalFormatting sqref="C20:F20">
    <cfRule type="cellIs" dxfId="209" priority="22" stopIfTrue="1" operator="lessThan">
      <formula>0</formula>
    </cfRule>
  </conditionalFormatting>
  <conditionalFormatting sqref="C30:F30">
    <cfRule type="cellIs" dxfId="208" priority="21" stopIfTrue="1" operator="lessThan">
      <formula>0</formula>
    </cfRule>
  </conditionalFormatting>
  <conditionalFormatting sqref="C32:F32">
    <cfRule type="cellIs" dxfId="207" priority="20" stopIfTrue="1" operator="lessThan">
      <formula>0</formula>
    </cfRule>
  </conditionalFormatting>
  <conditionalFormatting sqref="C38:F38">
    <cfRule type="cellIs" dxfId="206" priority="19" stopIfTrue="1" operator="lessThan">
      <formula>0</formula>
    </cfRule>
  </conditionalFormatting>
  <conditionalFormatting sqref="C41:F41">
    <cfRule type="cellIs" dxfId="205" priority="18" stopIfTrue="1" operator="lessThan">
      <formula>0</formula>
    </cfRule>
  </conditionalFormatting>
  <conditionalFormatting sqref="C99:F99">
    <cfRule type="cellIs" dxfId="204" priority="2" stopIfTrue="1" operator="lessThan">
      <formula>0</formula>
    </cfRule>
  </conditionalFormatting>
  <conditionalFormatting sqref="C42:F42">
    <cfRule type="cellIs" dxfId="203" priority="17" stopIfTrue="1" operator="lessThan">
      <formula>0</formula>
    </cfRule>
  </conditionalFormatting>
  <conditionalFormatting sqref="C55:F55">
    <cfRule type="cellIs" dxfId="202" priority="16" stopIfTrue="1" operator="lessThan">
      <formula>0</formula>
    </cfRule>
  </conditionalFormatting>
  <conditionalFormatting sqref="C58:F60">
    <cfRule type="cellIs" dxfId="201" priority="15" stopIfTrue="1" operator="lessThan">
      <formula>0</formula>
    </cfRule>
  </conditionalFormatting>
  <conditionalFormatting sqref="C62:F62">
    <cfRule type="cellIs" dxfId="200" priority="14" stopIfTrue="1" operator="lessThan">
      <formula>0</formula>
    </cfRule>
  </conditionalFormatting>
  <conditionalFormatting sqref="C68:F68">
    <cfRule type="cellIs" dxfId="199" priority="13" stopIfTrue="1" operator="lessThan">
      <formula>0</formula>
    </cfRule>
  </conditionalFormatting>
  <conditionalFormatting sqref="C56:F56">
    <cfRule type="cellIs" dxfId="198" priority="12" stopIfTrue="1" operator="lessThan">
      <formula>0</formula>
    </cfRule>
  </conditionalFormatting>
  <conditionalFormatting sqref="A57:B57">
    <cfRule type="cellIs" dxfId="197" priority="11" stopIfTrue="1" operator="lessThan">
      <formula>0</formula>
    </cfRule>
  </conditionalFormatting>
  <conditionalFormatting sqref="C57:F57">
    <cfRule type="cellIs" dxfId="196" priority="10" stopIfTrue="1" operator="lessThan">
      <formula>0</formula>
    </cfRule>
  </conditionalFormatting>
  <conditionalFormatting sqref="C51:F51">
    <cfRule type="cellIs" dxfId="195" priority="9" stopIfTrue="1" operator="lessThan">
      <formula>0</formula>
    </cfRule>
  </conditionalFormatting>
  <conditionalFormatting sqref="C79:F79">
    <cfRule type="cellIs" dxfId="194" priority="8" stopIfTrue="1" operator="lessThan">
      <formula>0</formula>
    </cfRule>
  </conditionalFormatting>
  <conditionalFormatting sqref="C90:F91">
    <cfRule type="cellIs" dxfId="193" priority="7" stopIfTrue="1" operator="lessThan">
      <formula>0</formula>
    </cfRule>
  </conditionalFormatting>
  <conditionalFormatting sqref="C93:F93">
    <cfRule type="cellIs" dxfId="192" priority="6" stopIfTrue="1" operator="lessThan">
      <formula>0</formula>
    </cfRule>
  </conditionalFormatting>
  <conditionalFormatting sqref="C94:F94">
    <cfRule type="cellIs" dxfId="191" priority="5" stopIfTrue="1" operator="lessThan">
      <formula>0</formula>
    </cfRule>
  </conditionalFormatting>
  <conditionalFormatting sqref="C95:F95">
    <cfRule type="cellIs" dxfId="190" priority="4" stopIfTrue="1" operator="lessThan">
      <formula>0</formula>
    </cfRule>
  </conditionalFormatting>
  <conditionalFormatting sqref="C97:F97">
    <cfRule type="cellIs" dxfId="189" priority="3" stopIfTrue="1" operator="lessThan">
      <formula>0</formula>
    </cfRule>
  </conditionalFormatting>
  <conditionalFormatting sqref="B94">
    <cfRule type="cellIs" dxfId="188" priority="1" stopIfTrue="1" operator="lessThan">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52"/>
  <sheetViews>
    <sheetView workbookViewId="0">
      <selection activeCell="K3" sqref="K3"/>
    </sheetView>
  </sheetViews>
  <sheetFormatPr defaultRowHeight="13"/>
  <cols>
    <col min="1" max="1" width="23.453125" style="57" customWidth="1"/>
    <col min="2" max="2" width="16.6328125" style="70" customWidth="1"/>
    <col min="3" max="7" width="14.7265625" style="57" customWidth="1"/>
    <col min="8" max="8" width="9" style="57"/>
    <col min="9" max="9" width="21.6328125" style="57" bestFit="1" customWidth="1"/>
    <col min="10" max="13" width="9" style="57"/>
    <col min="14" max="14" width="13.453125" style="57" bestFit="1" customWidth="1"/>
    <col min="15" max="257" width="9" style="57"/>
    <col min="258" max="258" width="46.36328125" style="57" bestFit="1" customWidth="1"/>
    <col min="259" max="259" width="15.08984375" style="57" bestFit="1" customWidth="1"/>
    <col min="260" max="262" width="16.08984375" style="57" bestFit="1" customWidth="1"/>
    <col min="263" max="263" width="15" style="57" bestFit="1" customWidth="1"/>
    <col min="264" max="513" width="9" style="57"/>
    <col min="514" max="514" width="46.36328125" style="57" bestFit="1" customWidth="1"/>
    <col min="515" max="515" width="15.08984375" style="57" bestFit="1" customWidth="1"/>
    <col min="516" max="518" width="16.08984375" style="57" bestFit="1" customWidth="1"/>
    <col min="519" max="519" width="15" style="57" bestFit="1" customWidth="1"/>
    <col min="520" max="769" width="9" style="57"/>
    <col min="770" max="770" width="46.36328125" style="57" bestFit="1" customWidth="1"/>
    <col min="771" max="771" width="15.08984375" style="57" bestFit="1" customWidth="1"/>
    <col min="772" max="774" width="16.08984375" style="57" bestFit="1" customWidth="1"/>
    <col min="775" max="775" width="15" style="57" bestFit="1" customWidth="1"/>
    <col min="776" max="1025" width="9" style="57"/>
    <col min="1026" max="1026" width="46.36328125" style="57" bestFit="1" customWidth="1"/>
    <col min="1027" max="1027" width="15.08984375" style="57" bestFit="1" customWidth="1"/>
    <col min="1028" max="1030" width="16.08984375" style="57" bestFit="1" customWidth="1"/>
    <col min="1031" max="1031" width="15" style="57" bestFit="1" customWidth="1"/>
    <col min="1032" max="1281" width="9" style="57"/>
    <col min="1282" max="1282" width="46.36328125" style="57" bestFit="1" customWidth="1"/>
    <col min="1283" max="1283" width="15.08984375" style="57" bestFit="1" customWidth="1"/>
    <col min="1284" max="1286" width="16.08984375" style="57" bestFit="1" customWidth="1"/>
    <col min="1287" max="1287" width="15" style="57" bestFit="1" customWidth="1"/>
    <col min="1288" max="1537" width="9" style="57"/>
    <col min="1538" max="1538" width="46.36328125" style="57" bestFit="1" customWidth="1"/>
    <col min="1539" max="1539" width="15.08984375" style="57" bestFit="1" customWidth="1"/>
    <col min="1540" max="1542" width="16.08984375" style="57" bestFit="1" customWidth="1"/>
    <col min="1543" max="1543" width="15" style="57" bestFit="1" customWidth="1"/>
    <col min="1544" max="1793" width="9" style="57"/>
    <col min="1794" max="1794" width="46.36328125" style="57" bestFit="1" customWidth="1"/>
    <col min="1795" max="1795" width="15.08984375" style="57" bestFit="1" customWidth="1"/>
    <col min="1796" max="1798" width="16.08984375" style="57" bestFit="1" customWidth="1"/>
    <col min="1799" max="1799" width="15" style="57" bestFit="1" customWidth="1"/>
    <col min="1800" max="2049" width="9" style="57"/>
    <col min="2050" max="2050" width="46.36328125" style="57" bestFit="1" customWidth="1"/>
    <col min="2051" max="2051" width="15.08984375" style="57" bestFit="1" customWidth="1"/>
    <col min="2052" max="2054" width="16.08984375" style="57" bestFit="1" customWidth="1"/>
    <col min="2055" max="2055" width="15" style="57" bestFit="1" customWidth="1"/>
    <col min="2056" max="2305" width="9" style="57"/>
    <col min="2306" max="2306" width="46.36328125" style="57" bestFit="1" customWidth="1"/>
    <col min="2307" max="2307" width="15.08984375" style="57" bestFit="1" customWidth="1"/>
    <col min="2308" max="2310" width="16.08984375" style="57" bestFit="1" customWidth="1"/>
    <col min="2311" max="2311" width="15" style="57" bestFit="1" customWidth="1"/>
    <col min="2312" max="2561" width="9" style="57"/>
    <col min="2562" max="2562" width="46.36328125" style="57" bestFit="1" customWidth="1"/>
    <col min="2563" max="2563" width="15.08984375" style="57" bestFit="1" customWidth="1"/>
    <col min="2564" max="2566" width="16.08984375" style="57" bestFit="1" customWidth="1"/>
    <col min="2567" max="2567" width="15" style="57" bestFit="1" customWidth="1"/>
    <col min="2568" max="2817" width="9" style="57"/>
    <col min="2818" max="2818" width="46.36328125" style="57" bestFit="1" customWidth="1"/>
    <col min="2819" max="2819" width="15.08984375" style="57" bestFit="1" customWidth="1"/>
    <col min="2820" max="2822" width="16.08984375" style="57" bestFit="1" customWidth="1"/>
    <col min="2823" max="2823" width="15" style="57" bestFit="1" customWidth="1"/>
    <col min="2824" max="3073" width="9" style="57"/>
    <col min="3074" max="3074" width="46.36328125" style="57" bestFit="1" customWidth="1"/>
    <col min="3075" max="3075" width="15.08984375" style="57" bestFit="1" customWidth="1"/>
    <col min="3076" max="3078" width="16.08984375" style="57" bestFit="1" customWidth="1"/>
    <col min="3079" max="3079" width="15" style="57" bestFit="1" customWidth="1"/>
    <col min="3080" max="3329" width="9" style="57"/>
    <col min="3330" max="3330" width="46.36328125" style="57" bestFit="1" customWidth="1"/>
    <col min="3331" max="3331" width="15.08984375" style="57" bestFit="1" customWidth="1"/>
    <col min="3332" max="3334" width="16.08984375" style="57" bestFit="1" customWidth="1"/>
    <col min="3335" max="3335" width="15" style="57" bestFit="1" customWidth="1"/>
    <col min="3336" max="3585" width="9" style="57"/>
    <col min="3586" max="3586" width="46.36328125" style="57" bestFit="1" customWidth="1"/>
    <col min="3587" max="3587" width="15.08984375" style="57" bestFit="1" customWidth="1"/>
    <col min="3588" max="3590" width="16.08984375" style="57" bestFit="1" customWidth="1"/>
    <col min="3591" max="3591" width="15" style="57" bestFit="1" customWidth="1"/>
    <col min="3592" max="3841" width="9" style="57"/>
    <col min="3842" max="3842" width="46.36328125" style="57" bestFit="1" customWidth="1"/>
    <col min="3843" max="3843" width="15.08984375" style="57" bestFit="1" customWidth="1"/>
    <col min="3844" max="3846" width="16.08984375" style="57" bestFit="1" customWidth="1"/>
    <col min="3847" max="3847" width="15" style="57" bestFit="1" customWidth="1"/>
    <col min="3848" max="4097" width="9" style="57"/>
    <col min="4098" max="4098" width="46.36328125" style="57" bestFit="1" customWidth="1"/>
    <col min="4099" max="4099" width="15.08984375" style="57" bestFit="1" customWidth="1"/>
    <col min="4100" max="4102" width="16.08984375" style="57" bestFit="1" customWidth="1"/>
    <col min="4103" max="4103" width="15" style="57" bestFit="1" customWidth="1"/>
    <col min="4104" max="4353" width="9" style="57"/>
    <col min="4354" max="4354" width="46.36328125" style="57" bestFit="1" customWidth="1"/>
    <col min="4355" max="4355" width="15.08984375" style="57" bestFit="1" customWidth="1"/>
    <col min="4356" max="4358" width="16.08984375" style="57" bestFit="1" customWidth="1"/>
    <col min="4359" max="4359" width="15" style="57" bestFit="1" customWidth="1"/>
    <col min="4360" max="4609" width="9" style="57"/>
    <col min="4610" max="4610" width="46.36328125" style="57" bestFit="1" customWidth="1"/>
    <col min="4611" max="4611" width="15.08984375" style="57" bestFit="1" customWidth="1"/>
    <col min="4612" max="4614" width="16.08984375" style="57" bestFit="1" customWidth="1"/>
    <col min="4615" max="4615" width="15" style="57" bestFit="1" customWidth="1"/>
    <col min="4616" max="4865" width="9" style="57"/>
    <col min="4866" max="4866" width="46.36328125" style="57" bestFit="1" customWidth="1"/>
    <col min="4867" max="4867" width="15.08984375" style="57" bestFit="1" customWidth="1"/>
    <col min="4868" max="4870" width="16.08984375" style="57" bestFit="1" customWidth="1"/>
    <col min="4871" max="4871" width="15" style="57" bestFit="1" customWidth="1"/>
    <col min="4872" max="5121" width="9" style="57"/>
    <col min="5122" max="5122" width="46.36328125" style="57" bestFit="1" customWidth="1"/>
    <col min="5123" max="5123" width="15.08984375" style="57" bestFit="1" customWidth="1"/>
    <col min="5124" max="5126" width="16.08984375" style="57" bestFit="1" customWidth="1"/>
    <col min="5127" max="5127" width="15" style="57" bestFit="1" customWidth="1"/>
    <col min="5128" max="5377" width="9" style="57"/>
    <col min="5378" max="5378" width="46.36328125" style="57" bestFit="1" customWidth="1"/>
    <col min="5379" max="5379" width="15.08984375" style="57" bestFit="1" customWidth="1"/>
    <col min="5380" max="5382" width="16.08984375" style="57" bestFit="1" customWidth="1"/>
    <col min="5383" max="5383" width="15" style="57" bestFit="1" customWidth="1"/>
    <col min="5384" max="5633" width="9" style="57"/>
    <col min="5634" max="5634" width="46.36328125" style="57" bestFit="1" customWidth="1"/>
    <col min="5635" max="5635" width="15.08984375" style="57" bestFit="1" customWidth="1"/>
    <col min="5636" max="5638" width="16.08984375" style="57" bestFit="1" customWidth="1"/>
    <col min="5639" max="5639" width="15" style="57" bestFit="1" customWidth="1"/>
    <col min="5640" max="5889" width="9" style="57"/>
    <col min="5890" max="5890" width="46.36328125" style="57" bestFit="1" customWidth="1"/>
    <col min="5891" max="5891" width="15.08984375" style="57" bestFit="1" customWidth="1"/>
    <col min="5892" max="5894" width="16.08984375" style="57" bestFit="1" customWidth="1"/>
    <col min="5895" max="5895" width="15" style="57" bestFit="1" customWidth="1"/>
    <col min="5896" max="6145" width="9" style="57"/>
    <col min="6146" max="6146" width="46.36328125" style="57" bestFit="1" customWidth="1"/>
    <col min="6147" max="6147" width="15.08984375" style="57" bestFit="1" customWidth="1"/>
    <col min="6148" max="6150" width="16.08984375" style="57" bestFit="1" customWidth="1"/>
    <col min="6151" max="6151" width="15" style="57" bestFit="1" customWidth="1"/>
    <col min="6152" max="6401" width="9" style="57"/>
    <col min="6402" max="6402" width="46.36328125" style="57" bestFit="1" customWidth="1"/>
    <col min="6403" max="6403" width="15.08984375" style="57" bestFit="1" customWidth="1"/>
    <col min="6404" max="6406" width="16.08984375" style="57" bestFit="1" customWidth="1"/>
    <col min="6407" max="6407" width="15" style="57" bestFit="1" customWidth="1"/>
    <col min="6408" max="6657" width="9" style="57"/>
    <col min="6658" max="6658" width="46.36328125" style="57" bestFit="1" customWidth="1"/>
    <col min="6659" max="6659" width="15.08984375" style="57" bestFit="1" customWidth="1"/>
    <col min="6660" max="6662" width="16.08984375" style="57" bestFit="1" customWidth="1"/>
    <col min="6663" max="6663" width="15" style="57" bestFit="1" customWidth="1"/>
    <col min="6664" max="6913" width="9" style="57"/>
    <col min="6914" max="6914" width="46.36328125" style="57" bestFit="1" customWidth="1"/>
    <col min="6915" max="6915" width="15.08984375" style="57" bestFit="1" customWidth="1"/>
    <col min="6916" max="6918" width="16.08984375" style="57" bestFit="1" customWidth="1"/>
    <col min="6919" max="6919" width="15" style="57" bestFit="1" customWidth="1"/>
    <col min="6920" max="7169" width="9" style="57"/>
    <col min="7170" max="7170" width="46.36328125" style="57" bestFit="1" customWidth="1"/>
    <col min="7171" max="7171" width="15.08984375" style="57" bestFit="1" customWidth="1"/>
    <col min="7172" max="7174" width="16.08984375" style="57" bestFit="1" customWidth="1"/>
    <col min="7175" max="7175" width="15" style="57" bestFit="1" customWidth="1"/>
    <col min="7176" max="7425" width="9" style="57"/>
    <col min="7426" max="7426" width="46.36328125" style="57" bestFit="1" customWidth="1"/>
    <col min="7427" max="7427" width="15.08984375" style="57" bestFit="1" customWidth="1"/>
    <col min="7428" max="7430" width="16.08984375" style="57" bestFit="1" customWidth="1"/>
    <col min="7431" max="7431" width="15" style="57" bestFit="1" customWidth="1"/>
    <col min="7432" max="7681" width="9" style="57"/>
    <col min="7682" max="7682" width="46.36328125" style="57" bestFit="1" customWidth="1"/>
    <col min="7683" max="7683" width="15.08984375" style="57" bestFit="1" customWidth="1"/>
    <col min="7684" max="7686" width="16.08984375" style="57" bestFit="1" customWidth="1"/>
    <col min="7687" max="7687" width="15" style="57" bestFit="1" customWidth="1"/>
    <col min="7688" max="7937" width="9" style="57"/>
    <col min="7938" max="7938" width="46.36328125" style="57" bestFit="1" customWidth="1"/>
    <col min="7939" max="7939" width="15.08984375" style="57" bestFit="1" customWidth="1"/>
    <col min="7940" max="7942" width="16.08984375" style="57" bestFit="1" customWidth="1"/>
    <col min="7943" max="7943" width="15" style="57" bestFit="1" customWidth="1"/>
    <col min="7944" max="8193" width="9" style="57"/>
    <col min="8194" max="8194" width="46.36328125" style="57" bestFit="1" customWidth="1"/>
    <col min="8195" max="8195" width="15.08984375" style="57" bestFit="1" customWidth="1"/>
    <col min="8196" max="8198" width="16.08984375" style="57" bestFit="1" customWidth="1"/>
    <col min="8199" max="8199" width="15" style="57" bestFit="1" customWidth="1"/>
    <col min="8200" max="8449" width="9" style="57"/>
    <col min="8450" max="8450" width="46.36328125" style="57" bestFit="1" customWidth="1"/>
    <col min="8451" max="8451" width="15.08984375" style="57" bestFit="1" customWidth="1"/>
    <col min="8452" max="8454" width="16.08984375" style="57" bestFit="1" customWidth="1"/>
    <col min="8455" max="8455" width="15" style="57" bestFit="1" customWidth="1"/>
    <col min="8456" max="8705" width="9" style="57"/>
    <col min="8706" max="8706" width="46.36328125" style="57" bestFit="1" customWidth="1"/>
    <col min="8707" max="8707" width="15.08984375" style="57" bestFit="1" customWidth="1"/>
    <col min="8708" max="8710" width="16.08984375" style="57" bestFit="1" customWidth="1"/>
    <col min="8711" max="8711" width="15" style="57" bestFit="1" customWidth="1"/>
    <col min="8712" max="8961" width="9" style="57"/>
    <col min="8962" max="8962" width="46.36328125" style="57" bestFit="1" customWidth="1"/>
    <col min="8963" max="8963" width="15.08984375" style="57" bestFit="1" customWidth="1"/>
    <col min="8964" max="8966" width="16.08984375" style="57" bestFit="1" customWidth="1"/>
    <col min="8967" max="8967" width="15" style="57" bestFit="1" customWidth="1"/>
    <col min="8968" max="9217" width="9" style="57"/>
    <col min="9218" max="9218" width="46.36328125" style="57" bestFit="1" customWidth="1"/>
    <col min="9219" max="9219" width="15.08984375" style="57" bestFit="1" customWidth="1"/>
    <col min="9220" max="9222" width="16.08984375" style="57" bestFit="1" customWidth="1"/>
    <col min="9223" max="9223" width="15" style="57" bestFit="1" customWidth="1"/>
    <col min="9224" max="9473" width="9" style="57"/>
    <col min="9474" max="9474" width="46.36328125" style="57" bestFit="1" customWidth="1"/>
    <col min="9475" max="9475" width="15.08984375" style="57" bestFit="1" customWidth="1"/>
    <col min="9476" max="9478" width="16.08984375" style="57" bestFit="1" customWidth="1"/>
    <col min="9479" max="9479" width="15" style="57" bestFit="1" customWidth="1"/>
    <col min="9480" max="9729" width="9" style="57"/>
    <col min="9730" max="9730" width="46.36328125" style="57" bestFit="1" customWidth="1"/>
    <col min="9731" max="9731" width="15.08984375" style="57" bestFit="1" customWidth="1"/>
    <col min="9732" max="9734" width="16.08984375" style="57" bestFit="1" customWidth="1"/>
    <col min="9735" max="9735" width="15" style="57" bestFit="1" customWidth="1"/>
    <col min="9736" max="9985" width="9" style="57"/>
    <col min="9986" max="9986" width="46.36328125" style="57" bestFit="1" customWidth="1"/>
    <col min="9987" max="9987" width="15.08984375" style="57" bestFit="1" customWidth="1"/>
    <col min="9988" max="9990" width="16.08984375" style="57" bestFit="1" customWidth="1"/>
    <col min="9991" max="9991" width="15" style="57" bestFit="1" customWidth="1"/>
    <col min="9992" max="10241" width="9" style="57"/>
    <col min="10242" max="10242" width="46.36328125" style="57" bestFit="1" customWidth="1"/>
    <col min="10243" max="10243" width="15.08984375" style="57" bestFit="1" customWidth="1"/>
    <col min="10244" max="10246" width="16.08984375" style="57" bestFit="1" customWidth="1"/>
    <col min="10247" max="10247" width="15" style="57" bestFit="1" customWidth="1"/>
    <col min="10248" max="10497" width="9" style="57"/>
    <col min="10498" max="10498" width="46.36328125" style="57" bestFit="1" customWidth="1"/>
    <col min="10499" max="10499" width="15.08984375" style="57" bestFit="1" customWidth="1"/>
    <col min="10500" max="10502" width="16.08984375" style="57" bestFit="1" customWidth="1"/>
    <col min="10503" max="10503" width="15" style="57" bestFit="1" customWidth="1"/>
    <col min="10504" max="10753" width="9" style="57"/>
    <col min="10754" max="10754" width="46.36328125" style="57" bestFit="1" customWidth="1"/>
    <col min="10755" max="10755" width="15.08984375" style="57" bestFit="1" customWidth="1"/>
    <col min="10756" max="10758" width="16.08984375" style="57" bestFit="1" customWidth="1"/>
    <col min="10759" max="10759" width="15" style="57" bestFit="1" customWidth="1"/>
    <col min="10760" max="11009" width="9" style="57"/>
    <col min="11010" max="11010" width="46.36328125" style="57" bestFit="1" customWidth="1"/>
    <col min="11011" max="11011" width="15.08984375" style="57" bestFit="1" customWidth="1"/>
    <col min="11012" max="11014" width="16.08984375" style="57" bestFit="1" customWidth="1"/>
    <col min="11015" max="11015" width="15" style="57" bestFit="1" customWidth="1"/>
    <col min="11016" max="11265" width="9" style="57"/>
    <col min="11266" max="11266" width="46.36328125" style="57" bestFit="1" customWidth="1"/>
    <col min="11267" max="11267" width="15.08984375" style="57" bestFit="1" customWidth="1"/>
    <col min="11268" max="11270" width="16.08984375" style="57" bestFit="1" customWidth="1"/>
    <col min="11271" max="11271" width="15" style="57" bestFit="1" customWidth="1"/>
    <col min="11272" max="11521" width="9" style="57"/>
    <col min="11522" max="11522" width="46.36328125" style="57" bestFit="1" customWidth="1"/>
    <col min="11523" max="11523" width="15.08984375" style="57" bestFit="1" customWidth="1"/>
    <col min="11524" max="11526" width="16.08984375" style="57" bestFit="1" customWidth="1"/>
    <col min="11527" max="11527" width="15" style="57" bestFit="1" customWidth="1"/>
    <col min="11528" max="11777" width="9" style="57"/>
    <col min="11778" max="11778" width="46.36328125" style="57" bestFit="1" customWidth="1"/>
    <col min="11779" max="11779" width="15.08984375" style="57" bestFit="1" customWidth="1"/>
    <col min="11780" max="11782" width="16.08984375" style="57" bestFit="1" customWidth="1"/>
    <col min="11783" max="11783" width="15" style="57" bestFit="1" customWidth="1"/>
    <col min="11784" max="12033" width="9" style="57"/>
    <col min="12034" max="12034" width="46.36328125" style="57" bestFit="1" customWidth="1"/>
    <col min="12035" max="12035" width="15.08984375" style="57" bestFit="1" customWidth="1"/>
    <col min="12036" max="12038" width="16.08984375" style="57" bestFit="1" customWidth="1"/>
    <col min="12039" max="12039" width="15" style="57" bestFit="1" customWidth="1"/>
    <col min="12040" max="12289" width="9" style="57"/>
    <col min="12290" max="12290" width="46.36328125" style="57" bestFit="1" customWidth="1"/>
    <col min="12291" max="12291" width="15.08984375" style="57" bestFit="1" customWidth="1"/>
    <col min="12292" max="12294" width="16.08984375" style="57" bestFit="1" customWidth="1"/>
    <col min="12295" max="12295" width="15" style="57" bestFit="1" customWidth="1"/>
    <col min="12296" max="12545" width="9" style="57"/>
    <col min="12546" max="12546" width="46.36328125" style="57" bestFit="1" customWidth="1"/>
    <col min="12547" max="12547" width="15.08984375" style="57" bestFit="1" customWidth="1"/>
    <col min="12548" max="12550" width="16.08984375" style="57" bestFit="1" customWidth="1"/>
    <col min="12551" max="12551" width="15" style="57" bestFit="1" customWidth="1"/>
    <col min="12552" max="12801" width="9" style="57"/>
    <col min="12802" max="12802" width="46.36328125" style="57" bestFit="1" customWidth="1"/>
    <col min="12803" max="12803" width="15.08984375" style="57" bestFit="1" customWidth="1"/>
    <col min="12804" max="12806" width="16.08984375" style="57" bestFit="1" customWidth="1"/>
    <col min="12807" max="12807" width="15" style="57" bestFit="1" customWidth="1"/>
    <col min="12808" max="13057" width="9" style="57"/>
    <col min="13058" max="13058" width="46.36328125" style="57" bestFit="1" customWidth="1"/>
    <col min="13059" max="13059" width="15.08984375" style="57" bestFit="1" customWidth="1"/>
    <col min="13060" max="13062" width="16.08984375" style="57" bestFit="1" customWidth="1"/>
    <col min="13063" max="13063" width="15" style="57" bestFit="1" customWidth="1"/>
    <col min="13064" max="13313" width="9" style="57"/>
    <col min="13314" max="13314" width="46.36328125" style="57" bestFit="1" customWidth="1"/>
    <col min="13315" max="13315" width="15.08984375" style="57" bestFit="1" customWidth="1"/>
    <col min="13316" max="13318" width="16.08984375" style="57" bestFit="1" customWidth="1"/>
    <col min="13319" max="13319" width="15" style="57" bestFit="1" customWidth="1"/>
    <col min="13320" max="13569" width="9" style="57"/>
    <col min="13570" max="13570" width="46.36328125" style="57" bestFit="1" customWidth="1"/>
    <col min="13571" max="13571" width="15.08984375" style="57" bestFit="1" customWidth="1"/>
    <col min="13572" max="13574" width="16.08984375" style="57" bestFit="1" customWidth="1"/>
    <col min="13575" max="13575" width="15" style="57" bestFit="1" customWidth="1"/>
    <col min="13576" max="13825" width="9" style="57"/>
    <col min="13826" max="13826" width="46.36328125" style="57" bestFit="1" customWidth="1"/>
    <col min="13827" max="13827" width="15.08984375" style="57" bestFit="1" customWidth="1"/>
    <col min="13828" max="13830" width="16.08984375" style="57" bestFit="1" customWidth="1"/>
    <col min="13831" max="13831" width="15" style="57" bestFit="1" customWidth="1"/>
    <col min="13832" max="14081" width="9" style="57"/>
    <col min="14082" max="14082" width="46.36328125" style="57" bestFit="1" customWidth="1"/>
    <col min="14083" max="14083" width="15.08984375" style="57" bestFit="1" customWidth="1"/>
    <col min="14084" max="14086" width="16.08984375" style="57" bestFit="1" customWidth="1"/>
    <col min="14087" max="14087" width="15" style="57" bestFit="1" customWidth="1"/>
    <col min="14088" max="14337" width="9" style="57"/>
    <col min="14338" max="14338" width="46.36328125" style="57" bestFit="1" customWidth="1"/>
    <col min="14339" max="14339" width="15.08984375" style="57" bestFit="1" customWidth="1"/>
    <col min="14340" max="14342" width="16.08984375" style="57" bestFit="1" customWidth="1"/>
    <col min="14343" max="14343" width="15" style="57" bestFit="1" customWidth="1"/>
    <col min="14344" max="14593" width="9" style="57"/>
    <col min="14594" max="14594" width="46.36328125" style="57" bestFit="1" customWidth="1"/>
    <col min="14595" max="14595" width="15.08984375" style="57" bestFit="1" customWidth="1"/>
    <col min="14596" max="14598" width="16.08984375" style="57" bestFit="1" customWidth="1"/>
    <col min="14599" max="14599" width="15" style="57" bestFit="1" customWidth="1"/>
    <col min="14600" max="14849" width="9" style="57"/>
    <col min="14850" max="14850" width="46.36328125" style="57" bestFit="1" customWidth="1"/>
    <col min="14851" max="14851" width="15.08984375" style="57" bestFit="1" customWidth="1"/>
    <col min="14852" max="14854" width="16.08984375" style="57" bestFit="1" customWidth="1"/>
    <col min="14855" max="14855" width="15" style="57" bestFit="1" customWidth="1"/>
    <col min="14856" max="15105" width="9" style="57"/>
    <col min="15106" max="15106" width="46.36328125" style="57" bestFit="1" customWidth="1"/>
    <col min="15107" max="15107" width="15.08984375" style="57" bestFit="1" customWidth="1"/>
    <col min="15108" max="15110" width="16.08984375" style="57" bestFit="1" customWidth="1"/>
    <col min="15111" max="15111" width="15" style="57" bestFit="1" customWidth="1"/>
    <col min="15112" max="15361" width="9" style="57"/>
    <col min="15362" max="15362" width="46.36328125" style="57" bestFit="1" customWidth="1"/>
    <col min="15363" max="15363" width="15.08984375" style="57" bestFit="1" customWidth="1"/>
    <col min="15364" max="15366" width="16.08984375" style="57" bestFit="1" customWidth="1"/>
    <col min="15367" max="15367" width="15" style="57" bestFit="1" customWidth="1"/>
    <col min="15368" max="15617" width="9" style="57"/>
    <col min="15618" max="15618" width="46.36328125" style="57" bestFit="1" customWidth="1"/>
    <col min="15619" max="15619" width="15.08984375" style="57" bestFit="1" customWidth="1"/>
    <col min="15620" max="15622" width="16.08984375" style="57" bestFit="1" customWidth="1"/>
    <col min="15623" max="15623" width="15" style="57" bestFit="1" customWidth="1"/>
    <col min="15624" max="15873" width="9" style="57"/>
    <col min="15874" max="15874" width="46.36328125" style="57" bestFit="1" customWidth="1"/>
    <col min="15875" max="15875" width="15.08984375" style="57" bestFit="1" customWidth="1"/>
    <col min="15876" max="15878" width="16.08984375" style="57" bestFit="1" customWidth="1"/>
    <col min="15879" max="15879" width="15" style="57" bestFit="1" customWidth="1"/>
    <col min="15880" max="16129" width="9" style="57"/>
    <col min="16130" max="16130" width="46.36328125" style="57" bestFit="1" customWidth="1"/>
    <col min="16131" max="16131" width="15.08984375" style="57" bestFit="1" customWidth="1"/>
    <col min="16132" max="16134" width="16.08984375" style="57" bestFit="1" customWidth="1"/>
    <col min="16135" max="16135" width="15" style="57" bestFit="1" customWidth="1"/>
    <col min="16136" max="16384" width="9" style="57"/>
  </cols>
  <sheetData>
    <row r="1" spans="1:15">
      <c r="A1" s="57" t="s">
        <v>265</v>
      </c>
      <c r="B1" s="104" t="s">
        <v>91</v>
      </c>
      <c r="C1" s="58" t="s">
        <v>266</v>
      </c>
      <c r="D1" s="58" t="s">
        <v>293</v>
      </c>
      <c r="E1" s="227" t="s">
        <v>418</v>
      </c>
      <c r="F1" s="227" t="s">
        <v>419</v>
      </c>
      <c r="G1" s="58">
        <f>标的公司IS!G1</f>
        <v>0</v>
      </c>
      <c r="I1" s="63"/>
      <c r="J1" s="63" t="str">
        <f>C1</f>
        <v>2017-12-31</v>
      </c>
      <c r="K1" s="63" t="str">
        <f>D1</f>
        <v>2018-12-31</v>
      </c>
      <c r="L1" s="63" t="str">
        <f>E1</f>
        <v>2019-12-31</v>
      </c>
      <c r="M1" s="63" t="str">
        <f>F1</f>
        <v>2020-09-30</v>
      </c>
      <c r="N1" s="63" t="s">
        <v>420</v>
      </c>
      <c r="O1" s="62" t="s">
        <v>253</v>
      </c>
    </row>
    <row r="2" spans="1:15">
      <c r="A2" s="57" t="s">
        <v>92</v>
      </c>
      <c r="B2" s="104" t="s">
        <v>93</v>
      </c>
      <c r="C2" s="58" t="s">
        <v>93</v>
      </c>
      <c r="D2" s="58" t="s">
        <v>93</v>
      </c>
      <c r="E2" s="58" t="s">
        <v>269</v>
      </c>
      <c r="F2" s="58" t="s">
        <v>94</v>
      </c>
      <c r="G2" s="58"/>
      <c r="I2" s="63" t="s">
        <v>255</v>
      </c>
      <c r="J2" s="64">
        <f>C25/C4</f>
        <v>0.13289333714652202</v>
      </c>
      <c r="K2" s="64">
        <f>D25/D4</f>
        <v>0.14052148839446807</v>
      </c>
      <c r="L2" s="64">
        <f>E25/E4</f>
        <v>0.14043717698246014</v>
      </c>
      <c r="M2" s="64"/>
      <c r="N2" s="64"/>
      <c r="O2" s="64">
        <f>AVERAGE(J2:L2,N2)</f>
        <v>0.13795066750781673</v>
      </c>
    </row>
    <row r="3" spans="1:15">
      <c r="A3" s="57" t="s">
        <v>57</v>
      </c>
      <c r="B3" s="104" t="s">
        <v>95</v>
      </c>
      <c r="C3" s="58" t="s">
        <v>95</v>
      </c>
      <c r="D3" s="58" t="s">
        <v>95</v>
      </c>
      <c r="E3" s="58" t="s">
        <v>95</v>
      </c>
      <c r="F3" s="58" t="s">
        <v>95</v>
      </c>
      <c r="G3" s="58"/>
      <c r="I3" s="55" t="s">
        <v>247</v>
      </c>
      <c r="J3" s="38"/>
      <c r="K3" s="38">
        <f>(D31+D13)/D15</f>
        <v>39.061773496273368</v>
      </c>
      <c r="L3" s="38">
        <f>(E31+E13)/E15</f>
        <v>37.754239796686996</v>
      </c>
      <c r="M3" s="38"/>
      <c r="N3" s="38"/>
      <c r="O3" s="38">
        <f>AVERAGE(J3:L3,N3)</f>
        <v>38.408006646480182</v>
      </c>
    </row>
    <row r="4" spans="1:15">
      <c r="A4" s="60" t="s">
        <v>201</v>
      </c>
      <c r="B4" s="244">
        <v>32652.258044999999</v>
      </c>
      <c r="C4" s="61">
        <v>46305.859181</v>
      </c>
      <c r="D4" s="61">
        <v>56227.679448000003</v>
      </c>
      <c r="E4" s="61">
        <v>67457.06947799999</v>
      </c>
      <c r="F4" s="61">
        <v>41587.695052999996</v>
      </c>
      <c r="G4" s="61">
        <v>80298.333299999998</v>
      </c>
      <c r="H4" s="57">
        <f>G4/E4-1</f>
        <v>0.19036201722620016</v>
      </c>
      <c r="I4" s="63"/>
      <c r="J4" s="62"/>
      <c r="K4" s="62"/>
      <c r="L4" s="62"/>
      <c r="M4" s="62"/>
      <c r="N4" s="62"/>
      <c r="O4" s="62"/>
    </row>
    <row r="5" spans="1:15" ht="14">
      <c r="A5" s="57" t="s">
        <v>202</v>
      </c>
      <c r="B5" s="70">
        <v>32652.258044999999</v>
      </c>
      <c r="C5" s="61">
        <v>46305.859181</v>
      </c>
      <c r="D5" s="61">
        <v>56227.679448000003</v>
      </c>
      <c r="E5" s="61">
        <v>67457.06947799999</v>
      </c>
      <c r="F5" s="61">
        <v>41587.695052999996</v>
      </c>
      <c r="G5" s="61"/>
      <c r="I5" s="59"/>
      <c r="O5" s="54"/>
    </row>
    <row r="6" spans="1:15">
      <c r="A6" s="57" t="s">
        <v>203</v>
      </c>
      <c r="C6" s="61"/>
      <c r="D6" s="61"/>
      <c r="E6" s="61"/>
      <c r="F6" s="61"/>
      <c r="G6" s="61"/>
      <c r="I6" s="55" t="s">
        <v>249</v>
      </c>
      <c r="J6" s="64">
        <f>C4/B4-1</f>
        <v>0.41815182022582231</v>
      </c>
      <c r="K6" s="64">
        <f>D4/C4-1</f>
        <v>0.21426705912566413</v>
      </c>
      <c r="L6" s="64">
        <f>E4/D4-1</f>
        <v>0.19971284855148719</v>
      </c>
      <c r="M6" s="64"/>
      <c r="N6" s="64"/>
      <c r="O6" s="64">
        <f>AVERAGE(J6:L6,N6)</f>
        <v>0.27737724263432456</v>
      </c>
    </row>
    <row r="7" spans="1:15">
      <c r="A7" s="60" t="s">
        <v>204</v>
      </c>
      <c r="B7" s="244">
        <v>35289.089994000002</v>
      </c>
      <c r="C7" s="61">
        <v>43865.136720000002</v>
      </c>
      <c r="D7" s="61">
        <v>52547.142922000006</v>
      </c>
      <c r="E7" s="61">
        <v>63991.980733000004</v>
      </c>
      <c r="F7" s="61">
        <v>49552.376682999995</v>
      </c>
      <c r="G7" s="61"/>
      <c r="I7" s="55" t="s">
        <v>250</v>
      </c>
      <c r="J7" s="62"/>
      <c r="K7" s="62"/>
      <c r="L7" s="62"/>
      <c r="M7" s="62"/>
      <c r="N7" s="62"/>
      <c r="O7" s="62"/>
    </row>
    <row r="8" spans="1:15">
      <c r="A8" s="57" t="s">
        <v>205</v>
      </c>
      <c r="B8" s="70">
        <v>8116.6187110000001</v>
      </c>
      <c r="C8" s="61">
        <v>10404.834296999999</v>
      </c>
      <c r="D8" s="61">
        <v>13324.987209000001</v>
      </c>
      <c r="E8" s="61">
        <v>16191.942625999998</v>
      </c>
      <c r="F8" s="61">
        <v>13941.597046000001</v>
      </c>
      <c r="G8" s="61"/>
      <c r="I8" s="56" t="s">
        <v>281</v>
      </c>
      <c r="J8" s="64">
        <f>(C25-B25)/ABS(B25)</f>
        <v>3.3372215810650956</v>
      </c>
      <c r="K8" s="64">
        <f>D25/C25-1</f>
        <v>0.28396666168885876</v>
      </c>
      <c r="L8" s="64">
        <f>E25/D25-1</f>
        <v>0.19899303348675135</v>
      </c>
      <c r="M8" s="64"/>
      <c r="N8" s="64"/>
      <c r="O8" s="64">
        <f>AVERAGE(J8:L8,N8)</f>
        <v>1.273393758746902</v>
      </c>
    </row>
    <row r="9" spans="1:15">
      <c r="A9" s="57" t="s">
        <v>206</v>
      </c>
      <c r="B9" s="70">
        <v>459.87624599999998</v>
      </c>
      <c r="C9" s="61">
        <v>509.23127300000004</v>
      </c>
      <c r="D9" s="61">
        <v>635.40281300000004</v>
      </c>
      <c r="E9" s="61">
        <v>826.86282800000004</v>
      </c>
      <c r="F9" s="61">
        <v>353.14151499999997</v>
      </c>
      <c r="G9" s="61"/>
    </row>
    <row r="10" spans="1:15">
      <c r="A10" s="57" t="s">
        <v>207</v>
      </c>
      <c r="B10" s="70">
        <v>12122.736887999999</v>
      </c>
      <c r="C10" s="61">
        <v>15368.707931000001</v>
      </c>
      <c r="D10" s="61">
        <v>17996.952378000002</v>
      </c>
      <c r="E10" s="61">
        <v>21793.551057000001</v>
      </c>
      <c r="F10" s="61">
        <v>15899.350422</v>
      </c>
      <c r="G10" s="61"/>
    </row>
    <row r="11" spans="1:15">
      <c r="A11" s="57" t="s">
        <v>208</v>
      </c>
      <c r="B11" s="70">
        <v>2330.4732100000001</v>
      </c>
      <c r="C11" s="61">
        <v>3065.8687030000001</v>
      </c>
      <c r="D11" s="61">
        <v>3922.977136</v>
      </c>
      <c r="E11" s="61">
        <v>4964.0805829999999</v>
      </c>
      <c r="F11" s="61">
        <v>3071.2362870000002</v>
      </c>
      <c r="G11" s="61"/>
    </row>
    <row r="12" spans="1:15">
      <c r="A12" s="57" t="s">
        <v>387</v>
      </c>
      <c r="B12" s="70">
        <v>12104.122234</v>
      </c>
      <c r="C12" s="61">
        <v>14150.198612999999</v>
      </c>
      <c r="D12" s="61">
        <v>15646.137106</v>
      </c>
      <c r="E12" s="61">
        <v>18674.723224000001</v>
      </c>
      <c r="F12" s="61">
        <v>15367.670222999999</v>
      </c>
      <c r="G12" s="61"/>
    </row>
    <row r="13" spans="1:15">
      <c r="A13" s="57" t="s">
        <v>209</v>
      </c>
      <c r="B13" s="70">
        <v>114.446304</v>
      </c>
      <c r="C13" s="61">
        <v>-165.35465400000001</v>
      </c>
      <c r="D13" s="61">
        <v>246.21605299999999</v>
      </c>
      <c r="E13" s="61">
        <v>130.16333400000002</v>
      </c>
      <c r="F13" s="61">
        <v>-97.616309000000001</v>
      </c>
      <c r="G13" s="61"/>
    </row>
    <row r="14" spans="1:15">
      <c r="A14" s="57" t="s">
        <v>210</v>
      </c>
      <c r="B14" s="70">
        <v>40.816400999999999</v>
      </c>
      <c r="C14" s="61">
        <v>531.65055700000005</v>
      </c>
      <c r="D14" s="61">
        <v>774.47022699999991</v>
      </c>
      <c r="E14" s="61">
        <v>1410.6570810000001</v>
      </c>
      <c r="F14" s="61">
        <v>1016.9974990000001</v>
      </c>
      <c r="G14" s="61"/>
    </row>
    <row r="15" spans="1:15">
      <c r="A15" s="225" t="s">
        <v>413</v>
      </c>
      <c r="B15" s="228">
        <v>14.562872</v>
      </c>
      <c r="C15" s="226">
        <v>0</v>
      </c>
      <c r="D15" s="226">
        <v>208.01691299999999</v>
      </c>
      <c r="E15" s="226">
        <v>253.83681800000002</v>
      </c>
      <c r="F15" s="226">
        <v>15.684166000000001</v>
      </c>
      <c r="G15" s="226"/>
    </row>
    <row r="16" spans="1:15">
      <c r="A16" s="60" t="s">
        <v>211</v>
      </c>
      <c r="B16" s="244"/>
      <c r="C16" s="61"/>
      <c r="D16" s="61"/>
      <c r="E16" s="61"/>
      <c r="F16" s="61"/>
      <c r="G16" s="61"/>
    </row>
    <row r="17" spans="1:7">
      <c r="A17" s="57" t="s">
        <v>212</v>
      </c>
      <c r="C17" s="61"/>
      <c r="D17" s="61"/>
      <c r="E17" s="61"/>
      <c r="F17" s="61"/>
      <c r="G17" s="61"/>
    </row>
    <row r="18" spans="1:7">
      <c r="A18" s="57" t="s">
        <v>213</v>
      </c>
      <c r="B18" s="70">
        <v>7.498081</v>
      </c>
      <c r="C18" s="61">
        <v>94.441195999999991</v>
      </c>
      <c r="D18" s="61">
        <v>66.990144000000001</v>
      </c>
      <c r="E18" s="61">
        <v>494.80423899999994</v>
      </c>
      <c r="F18" s="61">
        <v>959.71614899999997</v>
      </c>
      <c r="G18" s="61"/>
    </row>
    <row r="19" spans="1:7">
      <c r="A19" s="57" t="s">
        <v>214</v>
      </c>
      <c r="C19" s="61"/>
      <c r="D19" s="61"/>
      <c r="E19" s="61"/>
      <c r="F19" s="61"/>
      <c r="G19" s="61"/>
    </row>
    <row r="20" spans="1:7">
      <c r="A20" s="57" t="s">
        <v>215</v>
      </c>
      <c r="C20" s="61"/>
      <c r="D20" s="61"/>
      <c r="E20" s="61"/>
      <c r="F20" s="61"/>
      <c r="G20" s="61"/>
    </row>
    <row r="21" spans="1:7">
      <c r="A21" s="57" t="s">
        <v>216</v>
      </c>
      <c r="B21" s="70">
        <v>-3.5958489999999999</v>
      </c>
      <c r="C21" s="61">
        <v>-42.219631</v>
      </c>
      <c r="D21" s="61">
        <v>-10.249176</v>
      </c>
      <c r="E21" s="61">
        <v>31.351877000000002</v>
      </c>
      <c r="F21" s="61">
        <v>8.5701529999999995</v>
      </c>
      <c r="G21" s="61"/>
    </row>
    <row r="22" spans="1:7">
      <c r="A22" s="57" t="s">
        <v>217</v>
      </c>
      <c r="B22" s="70">
        <v>0</v>
      </c>
      <c r="C22" s="61">
        <v>3660.7961299999997</v>
      </c>
      <c r="D22" s="61">
        <v>4163.9197109999996</v>
      </c>
      <c r="E22" s="61">
        <v>5482.2355440000001</v>
      </c>
      <c r="F22" s="61">
        <v>2128.7278809999998</v>
      </c>
      <c r="G22" s="61"/>
    </row>
    <row r="23" spans="1:7">
      <c r="A23" s="57" t="s">
        <v>218</v>
      </c>
      <c r="C23" s="61"/>
      <c r="D23" s="61"/>
      <c r="E23" s="61"/>
      <c r="F23" s="61"/>
      <c r="G23" s="61"/>
    </row>
    <row r="24" spans="1:7">
      <c r="A24" s="57" t="s">
        <v>219</v>
      </c>
      <c r="C24" s="61"/>
      <c r="D24" s="61"/>
      <c r="E24" s="61"/>
      <c r="F24" s="61"/>
      <c r="G24" s="61"/>
    </row>
    <row r="25" spans="1:7">
      <c r="A25" s="60" t="s">
        <v>220</v>
      </c>
      <c r="B25" s="101">
        <f>B5-SUM(B8:B14)+SUM(B17:B22)</f>
        <v>-2632.9297169999959</v>
      </c>
      <c r="C25" s="101">
        <f>C5-SUM(C8:C14)+SUM(C17:C22)</f>
        <v>6153.7401560000044</v>
      </c>
      <c r="D25" s="101">
        <f>D5-SUM(D8:D14)+SUM(D17:D22)</f>
        <v>7901.1972050000031</v>
      </c>
      <c r="E25" s="101">
        <f>E5-SUM(E8:E14)+SUM(E17:E22)</f>
        <v>9473.4804049999948</v>
      </c>
      <c r="F25" s="101">
        <f>F5-SUM(F8:F14)+SUM(F17:F22)</f>
        <v>-4867.6674470000071</v>
      </c>
      <c r="G25" s="61"/>
    </row>
    <row r="26" spans="1:7">
      <c r="A26" s="57" t="s">
        <v>221</v>
      </c>
      <c r="B26" s="70">
        <v>2793.4480519999997</v>
      </c>
      <c r="C26" s="239">
        <v>4.8751870000000004</v>
      </c>
      <c r="D26" s="239">
        <v>25.621396000000001</v>
      </c>
      <c r="E26" s="239">
        <v>25.501730999999999</v>
      </c>
      <c r="F26" s="239">
        <v>10.774934</v>
      </c>
      <c r="G26" s="61"/>
    </row>
    <row r="27" spans="1:7">
      <c r="A27" s="57" t="s">
        <v>222</v>
      </c>
      <c r="B27" s="70">
        <v>4.3953800000000003</v>
      </c>
      <c r="C27" s="239">
        <v>21.552717999999999</v>
      </c>
      <c r="D27" s="239">
        <v>47.525115</v>
      </c>
      <c r="E27" s="239">
        <v>45.729374</v>
      </c>
      <c r="F27" s="239">
        <v>76.344988999999998</v>
      </c>
      <c r="G27" s="61"/>
    </row>
    <row r="28" spans="1:7">
      <c r="A28" s="57" t="s">
        <v>223</v>
      </c>
      <c r="C28" s="61"/>
      <c r="D28" s="61"/>
      <c r="E28" s="61"/>
      <c r="F28" s="61"/>
      <c r="G28" s="61"/>
    </row>
    <row r="29" spans="1:7">
      <c r="A29" s="57" t="s">
        <v>224</v>
      </c>
      <c r="C29" s="61"/>
      <c r="D29" s="61"/>
      <c r="E29" s="61"/>
      <c r="F29" s="61"/>
      <c r="G29" s="61"/>
    </row>
    <row r="30" spans="1:7">
      <c r="A30" s="57" t="s">
        <v>225</v>
      </c>
      <c r="C30" s="61"/>
      <c r="D30" s="61"/>
      <c r="E30" s="61"/>
      <c r="F30" s="61"/>
      <c r="G30" s="61"/>
    </row>
    <row r="31" spans="1:7">
      <c r="A31" s="60" t="s">
        <v>226</v>
      </c>
      <c r="B31" s="101">
        <f>B25+B26-B27</f>
        <v>156.12295500000386</v>
      </c>
      <c r="C31" s="101">
        <f>C25+C26-C27</f>
        <v>6137.0626250000041</v>
      </c>
      <c r="D31" s="101">
        <f>D25+D26-D27</f>
        <v>7879.2934860000023</v>
      </c>
      <c r="E31" s="101">
        <f>E25+E26-E27</f>
        <v>9453.2527619999946</v>
      </c>
      <c r="F31" s="101">
        <f>F25+F26-F27</f>
        <v>-4933.2375020000072</v>
      </c>
      <c r="G31" s="61"/>
    </row>
    <row r="32" spans="1:7">
      <c r="A32" s="57" t="s">
        <v>227</v>
      </c>
      <c r="B32" s="70">
        <v>37.624876</v>
      </c>
      <c r="C32" s="239">
        <v>131.83858500000002</v>
      </c>
      <c r="D32" s="239">
        <v>988.11929199999997</v>
      </c>
      <c r="E32" s="239">
        <v>348.64478600000001</v>
      </c>
      <c r="F32" s="239">
        <v>-235.04443700000002</v>
      </c>
      <c r="G32" s="61"/>
    </row>
    <row r="33" spans="1:7">
      <c r="A33" s="57" t="s">
        <v>228</v>
      </c>
      <c r="C33" s="61"/>
      <c r="D33" s="61"/>
      <c r="E33" s="61"/>
      <c r="F33" s="61"/>
      <c r="G33" s="61"/>
    </row>
    <row r="34" spans="1:7">
      <c r="A34" s="57" t="s">
        <v>229</v>
      </c>
      <c r="C34" s="61"/>
      <c r="D34" s="61"/>
      <c r="E34" s="61"/>
      <c r="F34" s="61"/>
      <c r="G34" s="61"/>
    </row>
    <row r="35" spans="1:7">
      <c r="A35" s="57" t="s">
        <v>230</v>
      </c>
      <c r="C35" s="61"/>
      <c r="D35" s="61"/>
      <c r="E35" s="61"/>
      <c r="F35" s="61"/>
      <c r="G35" s="61"/>
    </row>
    <row r="36" spans="1:7">
      <c r="A36" s="60" t="s">
        <v>231</v>
      </c>
      <c r="B36" s="101">
        <f>B31-B32</f>
        <v>118.49807900000386</v>
      </c>
      <c r="C36" s="101">
        <f>C31-C32</f>
        <v>6005.2240400000037</v>
      </c>
      <c r="D36" s="101">
        <f>D31-D32</f>
        <v>6891.174194000002</v>
      </c>
      <c r="E36" s="101">
        <f>E31-E32</f>
        <v>9104.6079759999939</v>
      </c>
      <c r="F36" s="101">
        <f>F31-F32</f>
        <v>-4698.1930650000068</v>
      </c>
      <c r="G36" s="61"/>
    </row>
    <row r="37" spans="1:7">
      <c r="A37" s="57" t="s">
        <v>232</v>
      </c>
      <c r="C37" s="61"/>
      <c r="D37" s="61"/>
      <c r="E37" s="61"/>
      <c r="F37" s="61"/>
      <c r="G37" s="61"/>
    </row>
    <row r="38" spans="1:7">
      <c r="A38" s="57" t="s">
        <v>233</v>
      </c>
      <c r="C38" s="61"/>
      <c r="D38" s="61"/>
      <c r="E38" s="61"/>
      <c r="F38" s="61"/>
      <c r="G38" s="61"/>
    </row>
    <row r="39" spans="1:7">
      <c r="A39" s="57" t="s">
        <v>234</v>
      </c>
      <c r="C39" s="61"/>
      <c r="D39" s="61"/>
      <c r="E39" s="61"/>
      <c r="F39" s="61"/>
      <c r="G39" s="61"/>
    </row>
    <row r="40" spans="1:7">
      <c r="A40" s="57" t="s">
        <v>235</v>
      </c>
      <c r="C40" s="61"/>
      <c r="D40" s="61"/>
      <c r="E40" s="61"/>
      <c r="F40" s="61"/>
      <c r="G40" s="61"/>
    </row>
    <row r="41" spans="1:7">
      <c r="A41" s="57" t="s">
        <v>236</v>
      </c>
      <c r="C41" s="61"/>
      <c r="D41" s="61"/>
      <c r="E41" s="61"/>
      <c r="F41" s="61"/>
      <c r="G41" s="61"/>
    </row>
    <row r="42" spans="1:7">
      <c r="A42" s="60" t="s">
        <v>237</v>
      </c>
      <c r="B42" s="244"/>
      <c r="C42" s="61"/>
      <c r="D42" s="61"/>
      <c r="E42" s="61"/>
      <c r="F42" s="61"/>
      <c r="G42" s="61"/>
    </row>
    <row r="43" spans="1:7">
      <c r="A43" s="57" t="s">
        <v>238</v>
      </c>
      <c r="C43" s="61"/>
      <c r="D43" s="61"/>
      <c r="E43" s="61"/>
      <c r="F43" s="61"/>
      <c r="G43" s="61"/>
    </row>
    <row r="44" spans="1:7">
      <c r="A44" s="57" t="s">
        <v>239</v>
      </c>
      <c r="C44" s="61"/>
      <c r="D44" s="61"/>
      <c r="E44" s="61"/>
      <c r="F44" s="61"/>
      <c r="G44" s="61"/>
    </row>
    <row r="45" spans="1:7">
      <c r="A45" s="60" t="s">
        <v>240</v>
      </c>
      <c r="B45" s="244"/>
      <c r="C45" s="58"/>
      <c r="D45" s="58"/>
      <c r="E45" s="58"/>
      <c r="F45" s="58"/>
      <c r="G45" s="58"/>
    </row>
    <row r="46" spans="1:7">
      <c r="A46" s="57" t="s">
        <v>241</v>
      </c>
      <c r="C46" s="69"/>
      <c r="D46" s="69"/>
      <c r="E46" s="69"/>
      <c r="F46" s="69"/>
      <c r="G46" s="69"/>
    </row>
    <row r="47" spans="1:7">
      <c r="A47" s="57" t="s">
        <v>242</v>
      </c>
      <c r="C47" s="69"/>
      <c r="D47" s="69"/>
      <c r="E47" s="69"/>
      <c r="F47" s="69"/>
      <c r="G47" s="69"/>
    </row>
    <row r="48" spans="1:7">
      <c r="A48" s="57" t="s">
        <v>199</v>
      </c>
    </row>
    <row r="50" spans="1:7">
      <c r="A50" s="59"/>
      <c r="B50" s="245"/>
      <c r="C50" s="70"/>
      <c r="D50" s="70"/>
      <c r="E50" s="70"/>
      <c r="F50" s="70"/>
      <c r="G50" s="70"/>
    </row>
    <row r="51" spans="1:7">
      <c r="A51" s="59"/>
      <c r="B51" s="245"/>
      <c r="C51" s="70"/>
      <c r="D51" s="70"/>
      <c r="E51" s="70"/>
      <c r="F51" s="70"/>
      <c r="G51" s="70"/>
    </row>
    <row r="52" spans="1:7">
      <c r="A52" s="59"/>
      <c r="B52" s="245"/>
      <c r="C52" s="70"/>
      <c r="D52" s="70"/>
      <c r="E52" s="70"/>
      <c r="F52" s="70"/>
      <c r="G52" s="70"/>
    </row>
  </sheetData>
  <phoneticPr fontId="2" type="noConversion"/>
  <conditionalFormatting sqref="C26:F26">
    <cfRule type="cellIs" dxfId="187" priority="3" stopIfTrue="1" operator="lessThan">
      <formula>0</formula>
    </cfRule>
  </conditionalFormatting>
  <conditionalFormatting sqref="C27:F27">
    <cfRule type="cellIs" dxfId="186" priority="2" stopIfTrue="1" operator="lessThan">
      <formula>0</formula>
    </cfRule>
  </conditionalFormatting>
  <conditionalFormatting sqref="C32:F32">
    <cfRule type="cellIs" dxfId="185" priority="1" stopIfTrue="1"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93E0B-4D5F-46D1-9B9E-77FF9C301434}">
  <dimension ref="A2:C6"/>
  <sheetViews>
    <sheetView workbookViewId="0">
      <selection activeCell="E4" sqref="E4"/>
    </sheetView>
  </sheetViews>
  <sheetFormatPr defaultRowHeight="14"/>
  <cols>
    <col min="1" max="1" width="14.26953125" customWidth="1"/>
    <col min="2" max="2" width="22.08984375" customWidth="1"/>
    <col min="3" max="3" width="23.453125" customWidth="1"/>
    <col min="4" max="7" width="13.6328125" customWidth="1"/>
  </cols>
  <sheetData>
    <row r="2" spans="1:3" ht="40.5" customHeight="1">
      <c r="A2" s="367" t="s">
        <v>331</v>
      </c>
      <c r="B2" s="74" t="s">
        <v>941</v>
      </c>
      <c r="C2" s="74" t="s">
        <v>282</v>
      </c>
    </row>
    <row r="3" spans="1:3" ht="40.5" customHeight="1">
      <c r="A3" s="368">
        <v>1</v>
      </c>
      <c r="B3" s="78" t="s">
        <v>931</v>
      </c>
      <c r="C3" s="77">
        <f>'评估结果-PB'!B20</f>
        <v>366058</v>
      </c>
    </row>
    <row r="4" spans="1:3" ht="40.5" customHeight="1">
      <c r="A4" s="368">
        <v>2</v>
      </c>
      <c r="B4" s="78" t="s">
        <v>942</v>
      </c>
      <c r="C4" s="77" t="e">
        <f>'评估结果-EV'!B33</f>
        <v>#REF!</v>
      </c>
    </row>
    <row r="5" spans="1:3" ht="40.5" customHeight="1">
      <c r="A5" s="368"/>
      <c r="B5" s="78" t="s">
        <v>86</v>
      </c>
      <c r="C5" s="77" t="e">
        <f>AVERAGE(C3:C4)</f>
        <v>#REF!</v>
      </c>
    </row>
    <row r="6" spans="1:3" ht="40.5" customHeight="1"/>
  </sheetData>
  <phoneticPr fontId="2"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21"/>
  <sheetViews>
    <sheetView topLeftCell="D1" workbookViewId="0">
      <selection sqref="A1:XFD1048576"/>
    </sheetView>
  </sheetViews>
  <sheetFormatPr defaultRowHeight="13"/>
  <cols>
    <col min="1" max="1" width="22.26953125" style="57" customWidth="1"/>
    <col min="2" max="2" width="13.36328125" style="70" customWidth="1"/>
    <col min="3" max="4" width="14.08984375" style="70" bestFit="1" customWidth="1"/>
    <col min="5" max="5" width="15.08984375" style="70" customWidth="1"/>
    <col min="6" max="6" width="14.08984375" style="70" bestFit="1" customWidth="1"/>
    <col min="7" max="8" width="15.08984375" style="57" customWidth="1"/>
    <col min="9" max="9" width="9" style="57"/>
    <col min="10" max="10" width="16.453125" style="57" customWidth="1"/>
    <col min="11" max="11" width="9" style="57"/>
    <col min="12" max="14" width="10.26953125" style="57" bestFit="1" customWidth="1"/>
    <col min="15" max="15" width="13.453125" style="57" bestFit="1" customWidth="1"/>
    <col min="16" max="258" width="9" style="57"/>
    <col min="259" max="259" width="34.08984375" style="57" bestFit="1" customWidth="1"/>
    <col min="260" max="264" width="16.08984375" style="57" bestFit="1" customWidth="1"/>
    <col min="265" max="514" width="9" style="57"/>
    <col min="515" max="515" width="34.08984375" style="57" bestFit="1" customWidth="1"/>
    <col min="516" max="520" width="16.08984375" style="57" bestFit="1" customWidth="1"/>
    <col min="521" max="770" width="9" style="57"/>
    <col min="771" max="771" width="34.08984375" style="57" bestFit="1" customWidth="1"/>
    <col min="772" max="776" width="16.08984375" style="57" bestFit="1" customWidth="1"/>
    <col min="777" max="1026" width="9" style="57"/>
    <col min="1027" max="1027" width="34.08984375" style="57" bestFit="1" customWidth="1"/>
    <col min="1028" max="1032" width="16.08984375" style="57" bestFit="1" customWidth="1"/>
    <col min="1033" max="1282" width="9" style="57"/>
    <col min="1283" max="1283" width="34.08984375" style="57" bestFit="1" customWidth="1"/>
    <col min="1284" max="1288" width="16.08984375" style="57" bestFit="1" customWidth="1"/>
    <col min="1289" max="1538" width="9" style="57"/>
    <col min="1539" max="1539" width="34.08984375" style="57" bestFit="1" customWidth="1"/>
    <col min="1540" max="1544" width="16.08984375" style="57" bestFit="1" customWidth="1"/>
    <col min="1545" max="1794" width="9" style="57"/>
    <col min="1795" max="1795" width="34.08984375" style="57" bestFit="1" customWidth="1"/>
    <col min="1796" max="1800" width="16.08984375" style="57" bestFit="1" customWidth="1"/>
    <col min="1801" max="2050" width="9" style="57"/>
    <col min="2051" max="2051" width="34.08984375" style="57" bestFit="1" customWidth="1"/>
    <col min="2052" max="2056" width="16.08984375" style="57" bestFit="1" customWidth="1"/>
    <col min="2057" max="2306" width="9" style="57"/>
    <col min="2307" max="2307" width="34.08984375" style="57" bestFit="1" customWidth="1"/>
    <col min="2308" max="2312" width="16.08984375" style="57" bestFit="1" customWidth="1"/>
    <col min="2313" max="2562" width="9" style="57"/>
    <col min="2563" max="2563" width="34.08984375" style="57" bestFit="1" customWidth="1"/>
    <col min="2564" max="2568" width="16.08984375" style="57" bestFit="1" customWidth="1"/>
    <col min="2569" max="2818" width="9" style="57"/>
    <col min="2819" max="2819" width="34.08984375" style="57" bestFit="1" customWidth="1"/>
    <col min="2820" max="2824" width="16.08984375" style="57" bestFit="1" customWidth="1"/>
    <col min="2825" max="3074" width="9" style="57"/>
    <col min="3075" max="3075" width="34.08984375" style="57" bestFit="1" customWidth="1"/>
    <col min="3076" max="3080" width="16.08984375" style="57" bestFit="1" customWidth="1"/>
    <col min="3081" max="3330" width="9" style="57"/>
    <col min="3331" max="3331" width="34.08984375" style="57" bestFit="1" customWidth="1"/>
    <col min="3332" max="3336" width="16.08984375" style="57" bestFit="1" customWidth="1"/>
    <col min="3337" max="3586" width="9" style="57"/>
    <col min="3587" max="3587" width="34.08984375" style="57" bestFit="1" customWidth="1"/>
    <col min="3588" max="3592" width="16.08984375" style="57" bestFit="1" customWidth="1"/>
    <col min="3593" max="3842" width="9" style="57"/>
    <col min="3843" max="3843" width="34.08984375" style="57" bestFit="1" customWidth="1"/>
    <col min="3844" max="3848" width="16.08984375" style="57" bestFit="1" customWidth="1"/>
    <col min="3849" max="4098" width="9" style="57"/>
    <col min="4099" max="4099" width="34.08984375" style="57" bestFit="1" customWidth="1"/>
    <col min="4100" max="4104" width="16.08984375" style="57" bestFit="1" customWidth="1"/>
    <col min="4105" max="4354" width="9" style="57"/>
    <col min="4355" max="4355" width="34.08984375" style="57" bestFit="1" customWidth="1"/>
    <col min="4356" max="4360" width="16.08984375" style="57" bestFit="1" customWidth="1"/>
    <col min="4361" max="4610" width="9" style="57"/>
    <col min="4611" max="4611" width="34.08984375" style="57" bestFit="1" customWidth="1"/>
    <col min="4612" max="4616" width="16.08984375" style="57" bestFit="1" customWidth="1"/>
    <col min="4617" max="4866" width="9" style="57"/>
    <col min="4867" max="4867" width="34.08984375" style="57" bestFit="1" customWidth="1"/>
    <col min="4868" max="4872" width="16.08984375" style="57" bestFit="1" customWidth="1"/>
    <col min="4873" max="5122" width="9" style="57"/>
    <col min="5123" max="5123" width="34.08984375" style="57" bestFit="1" customWidth="1"/>
    <col min="5124" max="5128" width="16.08984375" style="57" bestFit="1" customWidth="1"/>
    <col min="5129" max="5378" width="9" style="57"/>
    <col min="5379" max="5379" width="34.08984375" style="57" bestFit="1" customWidth="1"/>
    <col min="5380" max="5384" width="16.08984375" style="57" bestFit="1" customWidth="1"/>
    <col min="5385" max="5634" width="9" style="57"/>
    <col min="5635" max="5635" width="34.08984375" style="57" bestFit="1" customWidth="1"/>
    <col min="5636" max="5640" width="16.08984375" style="57" bestFit="1" customWidth="1"/>
    <col min="5641" max="5890" width="9" style="57"/>
    <col min="5891" max="5891" width="34.08984375" style="57" bestFit="1" customWidth="1"/>
    <col min="5892" max="5896" width="16.08984375" style="57" bestFit="1" customWidth="1"/>
    <col min="5897" max="6146" width="9" style="57"/>
    <col min="6147" max="6147" width="34.08984375" style="57" bestFit="1" customWidth="1"/>
    <col min="6148" max="6152" width="16.08984375" style="57" bestFit="1" customWidth="1"/>
    <col min="6153" max="6402" width="9" style="57"/>
    <col min="6403" max="6403" width="34.08984375" style="57" bestFit="1" customWidth="1"/>
    <col min="6404" max="6408" width="16.08984375" style="57" bestFit="1" customWidth="1"/>
    <col min="6409" max="6658" width="9" style="57"/>
    <col min="6659" max="6659" width="34.08984375" style="57" bestFit="1" customWidth="1"/>
    <col min="6660" max="6664" width="16.08984375" style="57" bestFit="1" customWidth="1"/>
    <col min="6665" max="6914" width="9" style="57"/>
    <col min="6915" max="6915" width="34.08984375" style="57" bestFit="1" customWidth="1"/>
    <col min="6916" max="6920" width="16.08984375" style="57" bestFit="1" customWidth="1"/>
    <col min="6921" max="7170" width="9" style="57"/>
    <col min="7171" max="7171" width="34.08984375" style="57" bestFit="1" customWidth="1"/>
    <col min="7172" max="7176" width="16.08984375" style="57" bestFit="1" customWidth="1"/>
    <col min="7177" max="7426" width="9" style="57"/>
    <col min="7427" max="7427" width="34.08984375" style="57" bestFit="1" customWidth="1"/>
    <col min="7428" max="7432" width="16.08984375" style="57" bestFit="1" customWidth="1"/>
    <col min="7433" max="7682" width="9" style="57"/>
    <col min="7683" max="7683" width="34.08984375" style="57" bestFit="1" customWidth="1"/>
    <col min="7684" max="7688" width="16.08984375" style="57" bestFit="1" customWidth="1"/>
    <col min="7689" max="7938" width="9" style="57"/>
    <col min="7939" max="7939" width="34.08984375" style="57" bestFit="1" customWidth="1"/>
    <col min="7940" max="7944" width="16.08984375" style="57" bestFit="1" customWidth="1"/>
    <col min="7945" max="8194" width="9" style="57"/>
    <col min="8195" max="8195" width="34.08984375" style="57" bestFit="1" customWidth="1"/>
    <col min="8196" max="8200" width="16.08984375" style="57" bestFit="1" customWidth="1"/>
    <col min="8201" max="8450" width="9" style="57"/>
    <col min="8451" max="8451" width="34.08984375" style="57" bestFit="1" customWidth="1"/>
    <col min="8452" max="8456" width="16.08984375" style="57" bestFit="1" customWidth="1"/>
    <col min="8457" max="8706" width="9" style="57"/>
    <col min="8707" max="8707" width="34.08984375" style="57" bestFit="1" customWidth="1"/>
    <col min="8708" max="8712" width="16.08984375" style="57" bestFit="1" customWidth="1"/>
    <col min="8713" max="8962" width="9" style="57"/>
    <col min="8963" max="8963" width="34.08984375" style="57" bestFit="1" customWidth="1"/>
    <col min="8964" max="8968" width="16.08984375" style="57" bestFit="1" customWidth="1"/>
    <col min="8969" max="9218" width="9" style="57"/>
    <col min="9219" max="9219" width="34.08984375" style="57" bestFit="1" customWidth="1"/>
    <col min="9220" max="9224" width="16.08984375" style="57" bestFit="1" customWidth="1"/>
    <col min="9225" max="9474" width="9" style="57"/>
    <col min="9475" max="9475" width="34.08984375" style="57" bestFit="1" customWidth="1"/>
    <col min="9476" max="9480" width="16.08984375" style="57" bestFit="1" customWidth="1"/>
    <col min="9481" max="9730" width="9" style="57"/>
    <col min="9731" max="9731" width="34.08984375" style="57" bestFit="1" customWidth="1"/>
    <col min="9732" max="9736" width="16.08984375" style="57" bestFit="1" customWidth="1"/>
    <col min="9737" max="9986" width="9" style="57"/>
    <col min="9987" max="9987" width="34.08984375" style="57" bestFit="1" customWidth="1"/>
    <col min="9988" max="9992" width="16.08984375" style="57" bestFit="1" customWidth="1"/>
    <col min="9993" max="10242" width="9" style="57"/>
    <col min="10243" max="10243" width="34.08984375" style="57" bestFit="1" customWidth="1"/>
    <col min="10244" max="10248" width="16.08984375" style="57" bestFit="1" customWidth="1"/>
    <col min="10249" max="10498" width="9" style="57"/>
    <col min="10499" max="10499" width="34.08984375" style="57" bestFit="1" customWidth="1"/>
    <col min="10500" max="10504" width="16.08984375" style="57" bestFit="1" customWidth="1"/>
    <col min="10505" max="10754" width="9" style="57"/>
    <col min="10755" max="10755" width="34.08984375" style="57" bestFit="1" customWidth="1"/>
    <col min="10756" max="10760" width="16.08984375" style="57" bestFit="1" customWidth="1"/>
    <col min="10761" max="11010" width="9" style="57"/>
    <col min="11011" max="11011" width="34.08984375" style="57" bestFit="1" customWidth="1"/>
    <col min="11012" max="11016" width="16.08984375" style="57" bestFit="1" customWidth="1"/>
    <col min="11017" max="11266" width="9" style="57"/>
    <col min="11267" max="11267" width="34.08984375" style="57" bestFit="1" customWidth="1"/>
    <col min="11268" max="11272" width="16.08984375" style="57" bestFit="1" customWidth="1"/>
    <col min="11273" max="11522" width="9" style="57"/>
    <col min="11523" max="11523" width="34.08984375" style="57" bestFit="1" customWidth="1"/>
    <col min="11524" max="11528" width="16.08984375" style="57" bestFit="1" customWidth="1"/>
    <col min="11529" max="11778" width="9" style="57"/>
    <col min="11779" max="11779" width="34.08984375" style="57" bestFit="1" customWidth="1"/>
    <col min="11780" max="11784" width="16.08984375" style="57" bestFit="1" customWidth="1"/>
    <col min="11785" max="12034" width="9" style="57"/>
    <col min="12035" max="12035" width="34.08984375" style="57" bestFit="1" customWidth="1"/>
    <col min="12036" max="12040" width="16.08984375" style="57" bestFit="1" customWidth="1"/>
    <col min="12041" max="12290" width="9" style="57"/>
    <col min="12291" max="12291" width="34.08984375" style="57" bestFit="1" customWidth="1"/>
    <col min="12292" max="12296" width="16.08984375" style="57" bestFit="1" customWidth="1"/>
    <col min="12297" max="12546" width="9" style="57"/>
    <col min="12547" max="12547" width="34.08984375" style="57" bestFit="1" customWidth="1"/>
    <col min="12548" max="12552" width="16.08984375" style="57" bestFit="1" customWidth="1"/>
    <col min="12553" max="12802" width="9" style="57"/>
    <col min="12803" max="12803" width="34.08984375" style="57" bestFit="1" customWidth="1"/>
    <col min="12804" max="12808" width="16.08984375" style="57" bestFit="1" customWidth="1"/>
    <col min="12809" max="13058" width="9" style="57"/>
    <col min="13059" max="13059" width="34.08984375" style="57" bestFit="1" customWidth="1"/>
    <col min="13060" max="13064" width="16.08984375" style="57" bestFit="1" customWidth="1"/>
    <col min="13065" max="13314" width="9" style="57"/>
    <col min="13315" max="13315" width="34.08984375" style="57" bestFit="1" customWidth="1"/>
    <col min="13316" max="13320" width="16.08984375" style="57" bestFit="1" customWidth="1"/>
    <col min="13321" max="13570" width="9" style="57"/>
    <col min="13571" max="13571" width="34.08984375" style="57" bestFit="1" customWidth="1"/>
    <col min="13572" max="13576" width="16.08984375" style="57" bestFit="1" customWidth="1"/>
    <col min="13577" max="13826" width="9" style="57"/>
    <col min="13827" max="13827" width="34.08984375" style="57" bestFit="1" customWidth="1"/>
    <col min="13828" max="13832" width="16.08984375" style="57" bestFit="1" customWidth="1"/>
    <col min="13833" max="14082" width="9" style="57"/>
    <col min="14083" max="14083" width="34.08984375" style="57" bestFit="1" customWidth="1"/>
    <col min="14084" max="14088" width="16.08984375" style="57" bestFit="1" customWidth="1"/>
    <col min="14089" max="14338" width="9" style="57"/>
    <col min="14339" max="14339" width="34.08984375" style="57" bestFit="1" customWidth="1"/>
    <col min="14340" max="14344" width="16.08984375" style="57" bestFit="1" customWidth="1"/>
    <col min="14345" max="14594" width="9" style="57"/>
    <col min="14595" max="14595" width="34.08984375" style="57" bestFit="1" customWidth="1"/>
    <col min="14596" max="14600" width="16.08984375" style="57" bestFit="1" customWidth="1"/>
    <col min="14601" max="14850" width="9" style="57"/>
    <col min="14851" max="14851" width="34.08984375" style="57" bestFit="1" customWidth="1"/>
    <col min="14852" max="14856" width="16.08984375" style="57" bestFit="1" customWidth="1"/>
    <col min="14857" max="15106" width="9" style="57"/>
    <col min="15107" max="15107" width="34.08984375" style="57" bestFit="1" customWidth="1"/>
    <col min="15108" max="15112" width="16.08984375" style="57" bestFit="1" customWidth="1"/>
    <col min="15113" max="15362" width="9" style="57"/>
    <col min="15363" max="15363" width="34.08984375" style="57" bestFit="1" customWidth="1"/>
    <col min="15364" max="15368" width="16.08984375" style="57" bestFit="1" customWidth="1"/>
    <col min="15369" max="15618" width="9" style="57"/>
    <col min="15619" max="15619" width="34.08984375" style="57" bestFit="1" customWidth="1"/>
    <col min="15620" max="15624" width="16.08984375" style="57" bestFit="1" customWidth="1"/>
    <col min="15625" max="15874" width="9" style="57"/>
    <col min="15875" max="15875" width="34.08984375" style="57" bestFit="1" customWidth="1"/>
    <col min="15876" max="15880" width="16.08984375" style="57" bestFit="1" customWidth="1"/>
    <col min="15881" max="16130" width="9" style="57"/>
    <col min="16131" max="16131" width="34.08984375" style="57" bestFit="1" customWidth="1"/>
    <col min="16132" max="16136" width="16.08984375" style="57" bestFit="1" customWidth="1"/>
    <col min="16137" max="16384" width="9" style="57"/>
  </cols>
  <sheetData>
    <row r="1" spans="1:16">
      <c r="A1" s="59" t="s">
        <v>90</v>
      </c>
      <c r="B1" s="243" t="s">
        <v>738</v>
      </c>
      <c r="C1" s="243" t="e">
        <f>#REF!</f>
        <v>#REF!</v>
      </c>
      <c r="D1" s="243" t="e">
        <f>#REF!</f>
        <v>#REF!</v>
      </c>
      <c r="E1" s="243" t="e">
        <f>#REF!</f>
        <v>#REF!</v>
      </c>
      <c r="F1" s="243" t="e">
        <f>#REF!</f>
        <v>#REF!</v>
      </c>
      <c r="G1" s="227" t="s">
        <v>741</v>
      </c>
      <c r="H1" s="227" t="s">
        <v>742</v>
      </c>
      <c r="J1" s="62"/>
      <c r="K1" s="63" t="e">
        <f>C1</f>
        <v>#REF!</v>
      </c>
      <c r="L1" s="63" t="e">
        <f>D1</f>
        <v>#REF!</v>
      </c>
      <c r="M1" s="63" t="e">
        <f>E1</f>
        <v>#REF!</v>
      </c>
      <c r="N1" s="63" t="e">
        <f>F1</f>
        <v>#REF!</v>
      </c>
      <c r="O1" s="63" t="s">
        <v>420</v>
      </c>
      <c r="P1" s="62" t="s">
        <v>253</v>
      </c>
    </row>
    <row r="2" spans="1:16">
      <c r="A2" s="57" t="s">
        <v>92</v>
      </c>
      <c r="B2" s="104" t="s">
        <v>93</v>
      </c>
      <c r="C2" s="104" t="s">
        <v>93</v>
      </c>
      <c r="D2" s="104" t="s">
        <v>93</v>
      </c>
      <c r="E2" s="104" t="s">
        <v>269</v>
      </c>
      <c r="F2" s="104" t="s">
        <v>94</v>
      </c>
      <c r="G2" s="58"/>
      <c r="H2" s="58"/>
      <c r="J2" s="62" t="s">
        <v>252</v>
      </c>
      <c r="K2" s="64">
        <f>山石网科IS!C36/(B106+C106)*2</f>
        <v>0.28306553341646756</v>
      </c>
      <c r="L2" s="64">
        <f>山石网科IS!D36/(C106+D106)*2</f>
        <v>0.21741541710163753</v>
      </c>
      <c r="M2" s="64">
        <f>山石网科IS!E36/(D106+E106)*2</f>
        <v>0.10142904916813025</v>
      </c>
      <c r="N2" s="64"/>
      <c r="O2" s="64"/>
      <c r="P2" s="64">
        <f>AVERAGE(K2:M2,O2)</f>
        <v>0.20063666656207846</v>
      </c>
    </row>
    <row r="3" spans="1:16">
      <c r="A3" s="57" t="s">
        <v>57</v>
      </c>
      <c r="B3" s="104" t="s">
        <v>95</v>
      </c>
      <c r="C3" s="104" t="s">
        <v>95</v>
      </c>
      <c r="D3" s="104" t="s">
        <v>95</v>
      </c>
      <c r="E3" s="104" t="s">
        <v>95</v>
      </c>
      <c r="F3" s="104" t="s">
        <v>95</v>
      </c>
      <c r="G3" s="58"/>
      <c r="H3" s="58"/>
      <c r="J3" s="62" t="s">
        <v>254</v>
      </c>
      <c r="K3" s="64">
        <f>(山石网科IS!C31+山石网科IS!C15)/(B49+C49)*2</f>
        <v>0.1692300242105137</v>
      </c>
      <c r="L3" s="64">
        <f>(山石网科IS!D31+山石网科IS!D15)/(C49+D49)*2</f>
        <v>0.14076353638786435</v>
      </c>
      <c r="M3" s="64">
        <f>(山石网科IS!E31+山石网科IS!E15)/(D49+E49)*2</f>
        <v>8.1857643569963903E-2</v>
      </c>
      <c r="N3" s="64"/>
      <c r="O3" s="64"/>
      <c r="P3" s="64">
        <f>AVERAGE(K3:M3,O3)</f>
        <v>0.13061706805611398</v>
      </c>
    </row>
    <row r="4" spans="1:16">
      <c r="A4" s="60" t="s">
        <v>96</v>
      </c>
      <c r="B4" s="244"/>
      <c r="C4" s="104" t="s">
        <v>49</v>
      </c>
      <c r="D4" s="104" t="s">
        <v>49</v>
      </c>
      <c r="E4" s="104" t="s">
        <v>49</v>
      </c>
      <c r="F4" s="104" t="s">
        <v>49</v>
      </c>
      <c r="G4" s="58"/>
      <c r="H4" s="58"/>
      <c r="J4" s="62" t="s">
        <v>260</v>
      </c>
      <c r="K4" s="65">
        <f>山石网科IS!J2</f>
        <v>0.13289333714652202</v>
      </c>
      <c r="L4" s="65">
        <f>山石网科IS!K2</f>
        <v>0.14052148839446807</v>
      </c>
      <c r="M4" s="65">
        <f>山石网科IS!L2</f>
        <v>0.14043717698246014</v>
      </c>
      <c r="N4" s="65"/>
      <c r="O4" s="65"/>
      <c r="P4" s="65">
        <f>AVERAGE(K4:M4,O4)</f>
        <v>0.13795066750781673</v>
      </c>
    </row>
    <row r="5" spans="1:16">
      <c r="A5" s="57" t="s">
        <v>736</v>
      </c>
      <c r="B5" s="70">
        <v>12051.383062999999</v>
      </c>
      <c r="C5" s="239">
        <v>6359.6580649999996</v>
      </c>
      <c r="D5" s="239">
        <v>22130.216574000002</v>
      </c>
      <c r="E5" s="239">
        <v>107517.32608399999</v>
      </c>
      <c r="F5" s="239">
        <v>27550.197526</v>
      </c>
      <c r="G5" s="61"/>
      <c r="H5" s="61"/>
      <c r="J5" s="62"/>
      <c r="K5" s="62"/>
      <c r="L5" s="62"/>
      <c r="M5" s="62"/>
      <c r="N5" s="62"/>
      <c r="O5" s="62"/>
      <c r="P5" s="62"/>
    </row>
    <row r="6" spans="1:16">
      <c r="A6" s="57" t="s">
        <v>98</v>
      </c>
      <c r="B6" s="70">
        <v>0</v>
      </c>
      <c r="C6" s="70">
        <v>0</v>
      </c>
      <c r="D6" s="70">
        <v>0</v>
      </c>
      <c r="E6" s="70">
        <v>0</v>
      </c>
      <c r="F6" s="70">
        <v>67520</v>
      </c>
      <c r="G6" s="61">
        <f>F6</f>
        <v>67520</v>
      </c>
      <c r="H6" s="61" t="s">
        <v>743</v>
      </c>
      <c r="J6" s="56" t="s">
        <v>257</v>
      </c>
      <c r="K6" s="38">
        <f>山石网科IS!C4/(B49+C49)*2</f>
        <v>1.2768880080133225</v>
      </c>
      <c r="L6" s="38">
        <f>山石网科IS!D4/(C49+D49)*2</f>
        <v>0.97866986816313972</v>
      </c>
      <c r="M6" s="38">
        <f>山石网科IS!E4/(D49+E49)*2</f>
        <v>0.56884988070795339</v>
      </c>
      <c r="N6" s="38"/>
      <c r="O6" s="38"/>
      <c r="P6" s="38">
        <f>AVERAGE(K6:M6,O6)</f>
        <v>0.94146925229480516</v>
      </c>
    </row>
    <row r="7" spans="1:16">
      <c r="A7" s="57" t="s">
        <v>99</v>
      </c>
      <c r="G7" s="61"/>
      <c r="H7" s="61"/>
      <c r="J7" s="56" t="s">
        <v>244</v>
      </c>
      <c r="K7" s="38">
        <f>山石网科IS!C4/(B24+C24)*2</f>
        <v>1.3653342387877616</v>
      </c>
      <c r="L7" s="38">
        <f>山石网科IS!D4/(C24+D24)*2</f>
        <v>1.0465027062660666</v>
      </c>
      <c r="M7" s="38">
        <f>山石网科IS!E4/(D24+E24)*2</f>
        <v>0.59403347807225726</v>
      </c>
      <c r="N7" s="38"/>
      <c r="O7" s="38"/>
      <c r="P7" s="38">
        <f>AVERAGE(K7:M7,O7)</f>
        <v>1.0019568077086951</v>
      </c>
    </row>
    <row r="8" spans="1:16">
      <c r="A8" s="57" t="s">
        <v>100</v>
      </c>
      <c r="C8" s="239"/>
      <c r="D8" s="239"/>
      <c r="E8" s="239"/>
      <c r="F8" s="239"/>
      <c r="G8" s="61"/>
      <c r="H8" s="61"/>
      <c r="J8" s="56" t="s">
        <v>256</v>
      </c>
      <c r="K8" s="66">
        <f>山石网科IS!C4/(C8+B8+C9+B9+C12+B12)*2</f>
        <v>2.62312881864597</v>
      </c>
      <c r="L8" s="66">
        <f>山石网科IS!D4/(D8+C8+D9+C9+D12+C12)*2</f>
        <v>1.8124360037354428</v>
      </c>
      <c r="M8" s="66">
        <f>山石网科IS!E4/(E8+D8+E9+D9+E12+D12)*2</f>
        <v>1.6503542003469081</v>
      </c>
      <c r="N8" s="66"/>
      <c r="O8" s="66"/>
      <c r="P8" s="66">
        <f>AVERAGE(K8:M8,O8)</f>
        <v>2.0286396742427737</v>
      </c>
    </row>
    <row r="9" spans="1:16">
      <c r="A9" s="57" t="s">
        <v>101</v>
      </c>
      <c r="B9" s="70">
        <v>11523.35348</v>
      </c>
      <c r="C9" s="239">
        <v>21094.318466000001</v>
      </c>
      <c r="D9" s="239">
        <v>32642.222198000003</v>
      </c>
      <c r="E9" s="239">
        <v>41042.234070999999</v>
      </c>
      <c r="F9" s="239">
        <v>46596.362101999999</v>
      </c>
      <c r="G9" s="61"/>
      <c r="H9" s="61"/>
      <c r="J9" s="62"/>
      <c r="K9" s="62"/>
      <c r="L9" s="62"/>
      <c r="M9" s="62"/>
      <c r="N9" s="62"/>
      <c r="O9" s="62"/>
      <c r="P9" s="62"/>
    </row>
    <row r="10" spans="1:16">
      <c r="A10" s="57" t="s">
        <v>102</v>
      </c>
      <c r="B10" s="70">
        <v>241.18946099999999</v>
      </c>
      <c r="C10" s="239">
        <v>364.82005099999998</v>
      </c>
      <c r="D10" s="239">
        <v>254.04334700000001</v>
      </c>
      <c r="E10" s="239">
        <v>660.308538</v>
      </c>
      <c r="F10" s="239">
        <v>996.07215299999996</v>
      </c>
      <c r="G10" s="61"/>
      <c r="H10" s="61"/>
      <c r="J10" s="56" t="s">
        <v>246</v>
      </c>
      <c r="K10" s="64">
        <f>C88/C49</f>
        <v>0.45914182715253649</v>
      </c>
      <c r="L10" s="64">
        <f>D88/D49</f>
        <v>0.44248686117388802</v>
      </c>
      <c r="M10" s="64">
        <f>E88/E49</f>
        <v>0.1513895514093917</v>
      </c>
      <c r="N10" s="64"/>
      <c r="O10" s="64"/>
      <c r="P10" s="64">
        <f>AVERAGE(K10:M10,O10)</f>
        <v>0.35100607991193877</v>
      </c>
    </row>
    <row r="11" spans="1:16">
      <c r="A11" s="57" t="s">
        <v>103</v>
      </c>
      <c r="G11" s="61"/>
      <c r="H11" s="61"/>
      <c r="J11" s="56" t="s">
        <v>258</v>
      </c>
      <c r="K11" s="68">
        <f>山石网科IS!J3</f>
        <v>0</v>
      </c>
      <c r="L11" s="68">
        <f>山石网科IS!K3</f>
        <v>39.061773496273368</v>
      </c>
      <c r="M11" s="68">
        <f>山石网科IS!L3</f>
        <v>37.754239796686996</v>
      </c>
      <c r="N11" s="68"/>
      <c r="O11" s="68"/>
      <c r="P11" s="68">
        <f>AVERAGE(K11:M11,O11)</f>
        <v>25.605337764320122</v>
      </c>
    </row>
    <row r="12" spans="1:16">
      <c r="A12" s="57" t="s">
        <v>104</v>
      </c>
      <c r="B12" s="70">
        <v>2129.6113089999999</v>
      </c>
      <c r="C12" s="239">
        <v>558.53844299999992</v>
      </c>
      <c r="D12" s="239">
        <v>7751.4475920000004</v>
      </c>
      <c r="E12" s="239">
        <v>312.69224500000001</v>
      </c>
      <c r="F12" s="239">
        <v>573.96504299999992</v>
      </c>
      <c r="G12" s="61"/>
      <c r="H12" s="61" t="s">
        <v>744</v>
      </c>
      <c r="J12" s="56" t="s">
        <v>248</v>
      </c>
      <c r="K12" s="64">
        <f>(C24-C15)/C72</f>
        <v>1.9441243831954889</v>
      </c>
      <c r="L12" s="64">
        <f>(D24-D15)/D72</f>
        <v>2.0774752586754337</v>
      </c>
      <c r="M12" s="64">
        <f>(E24-E15)/E72</f>
        <v>6.8226239503405219</v>
      </c>
      <c r="N12" s="64"/>
      <c r="O12" s="64"/>
      <c r="P12" s="64">
        <f>AVERAGE(K12:M12,O12)</f>
        <v>3.6147411974038151</v>
      </c>
    </row>
    <row r="13" spans="1:16">
      <c r="A13" s="57" t="s">
        <v>105</v>
      </c>
      <c r="G13" s="61"/>
      <c r="H13" s="61"/>
    </row>
    <row r="14" spans="1:16">
      <c r="A14" s="57" t="s">
        <v>106</v>
      </c>
      <c r="G14" s="61"/>
      <c r="H14" s="61"/>
      <c r="J14" s="56" t="s">
        <v>262</v>
      </c>
      <c r="K14" s="64">
        <f>山石网科IS!J6</f>
        <v>0.41815182022582231</v>
      </c>
      <c r="L14" s="64">
        <f>山石网科IS!K6</f>
        <v>0.21426705912566413</v>
      </c>
      <c r="M14" s="64">
        <f>山石网科IS!L6</f>
        <v>0.19971284855148719</v>
      </c>
      <c r="N14" s="64"/>
      <c r="O14" s="64"/>
      <c r="P14" s="64">
        <f>AVERAGE(K14:M14,O14)</f>
        <v>0.27737724263432456</v>
      </c>
    </row>
    <row r="15" spans="1:16">
      <c r="A15" s="57" t="s">
        <v>107</v>
      </c>
      <c r="B15" s="70">
        <v>2714.6785970000001</v>
      </c>
      <c r="C15" s="239">
        <v>3470.2455420000001</v>
      </c>
      <c r="D15" s="239">
        <v>5040.7857020000001</v>
      </c>
      <c r="E15" s="239">
        <v>4886.6694450000005</v>
      </c>
      <c r="F15" s="239">
        <v>6963.7095939999999</v>
      </c>
      <c r="G15" s="61"/>
      <c r="H15" s="61"/>
      <c r="J15" s="56" t="s">
        <v>263</v>
      </c>
      <c r="K15" s="65">
        <f>C106/B106-1</f>
        <v>5.2565431577870303E-2</v>
      </c>
      <c r="L15" s="65">
        <f>D106/C106-1</f>
        <v>0.91345675597968246</v>
      </c>
      <c r="M15" s="65">
        <f>E106/D106-1</f>
        <v>2.31207126844699</v>
      </c>
      <c r="N15" s="65"/>
      <c r="O15" s="65"/>
      <c r="P15" s="65">
        <f>AVERAGE(K15:M15,O15)</f>
        <v>1.0926978186681808</v>
      </c>
    </row>
    <row r="16" spans="1:16">
      <c r="A16" s="57" t="s">
        <v>108</v>
      </c>
      <c r="G16" s="61"/>
      <c r="H16" s="61"/>
      <c r="J16" s="56" t="s">
        <v>264</v>
      </c>
      <c r="K16" s="64">
        <f>山石网科IS!J8</f>
        <v>3.3372215810650956</v>
      </c>
      <c r="L16" s="64">
        <f>山石网科IS!K8</f>
        <v>0.28396666168885876</v>
      </c>
      <c r="M16" s="64">
        <f>山石网科IS!L8</f>
        <v>0.19899303348675135</v>
      </c>
      <c r="N16" s="64"/>
      <c r="O16" s="64"/>
      <c r="P16" s="64">
        <f>AVERAGE(K16:M16,O16)</f>
        <v>1.273393758746902</v>
      </c>
    </row>
    <row r="17" spans="1:8">
      <c r="A17" s="57" t="s">
        <v>109</v>
      </c>
      <c r="G17" s="61"/>
      <c r="H17" s="61"/>
    </row>
    <row r="18" spans="1:8">
      <c r="A18" s="57" t="s">
        <v>110</v>
      </c>
      <c r="G18" s="61"/>
      <c r="H18" s="61"/>
    </row>
    <row r="19" spans="1:8">
      <c r="A19" s="57" t="s">
        <v>111</v>
      </c>
      <c r="G19" s="61"/>
      <c r="H19" s="61"/>
    </row>
    <row r="20" spans="1:8">
      <c r="A20" s="57" t="s">
        <v>112</v>
      </c>
      <c r="B20" s="70">
        <v>1760.796482</v>
      </c>
      <c r="C20" s="239">
        <v>5562.2104669999999</v>
      </c>
      <c r="D20" s="239">
        <v>2229.7525930000002</v>
      </c>
      <c r="E20" s="239">
        <v>2647.68136</v>
      </c>
      <c r="F20" s="239">
        <v>1292.7617419999999</v>
      </c>
      <c r="G20" s="61">
        <f>F20</f>
        <v>1292.7617419999999</v>
      </c>
      <c r="H20" s="61" t="s">
        <v>745</v>
      </c>
    </row>
    <row r="21" spans="1:8">
      <c r="A21" s="57" t="s">
        <v>113</v>
      </c>
      <c r="G21" s="61"/>
      <c r="H21" s="61"/>
    </row>
    <row r="22" spans="1:8">
      <c r="A22" s="57" t="s">
        <v>114</v>
      </c>
      <c r="G22" s="61"/>
      <c r="H22" s="61"/>
    </row>
    <row r="23" spans="1:8">
      <c r="A23" s="57" t="s">
        <v>115</v>
      </c>
      <c r="G23" s="61"/>
      <c r="H23" s="61"/>
    </row>
    <row r="24" spans="1:8">
      <c r="A24" s="60" t="s">
        <v>116</v>
      </c>
      <c r="B24" s="244">
        <f t="shared" ref="B24:G24" si="0">SUM(B5:B23)</f>
        <v>30421.012392000001</v>
      </c>
      <c r="C24" s="244">
        <f t="shared" si="0"/>
        <v>37409.791034000002</v>
      </c>
      <c r="D24" s="244">
        <f t="shared" si="0"/>
        <v>70048.468005999996</v>
      </c>
      <c r="E24" s="244">
        <f t="shared" si="0"/>
        <v>157066.911743</v>
      </c>
      <c r="F24" s="244">
        <f t="shared" si="0"/>
        <v>151493.06816000002</v>
      </c>
      <c r="G24" s="244">
        <f t="shared" si="0"/>
        <v>68812.761742000002</v>
      </c>
      <c r="H24" s="101"/>
    </row>
    <row r="25" spans="1:8">
      <c r="A25" s="60" t="s">
        <v>117</v>
      </c>
      <c r="B25" s="244"/>
      <c r="C25" s="104" t="s">
        <v>49</v>
      </c>
      <c r="D25" s="104" t="s">
        <v>49</v>
      </c>
      <c r="E25" s="104" t="s">
        <v>49</v>
      </c>
      <c r="F25" s="104" t="s">
        <v>49</v>
      </c>
      <c r="G25" s="58"/>
      <c r="H25" s="58"/>
    </row>
    <row r="26" spans="1:8">
      <c r="A26" s="57" t="s">
        <v>118</v>
      </c>
      <c r="G26" s="61"/>
      <c r="H26" s="61"/>
    </row>
    <row r="27" spans="1:8">
      <c r="A27" s="57" t="s">
        <v>119</v>
      </c>
      <c r="G27" s="61"/>
      <c r="H27" s="61"/>
    </row>
    <row r="28" spans="1:8">
      <c r="A28" s="57" t="s">
        <v>120</v>
      </c>
      <c r="G28" s="61"/>
      <c r="H28" s="61"/>
    </row>
    <row r="29" spans="1:8">
      <c r="A29" s="57" t="s">
        <v>121</v>
      </c>
      <c r="G29" s="61"/>
      <c r="H29" s="61"/>
    </row>
    <row r="30" spans="1:8">
      <c r="A30" s="57" t="s">
        <v>122</v>
      </c>
      <c r="B30" s="70">
        <v>0</v>
      </c>
      <c r="C30" s="239">
        <v>0</v>
      </c>
      <c r="D30" s="239">
        <v>0</v>
      </c>
      <c r="E30" s="239">
        <v>0</v>
      </c>
      <c r="F30" s="239">
        <v>997.56560899999999</v>
      </c>
      <c r="G30" s="61">
        <f>F30</f>
        <v>997.56560899999999</v>
      </c>
      <c r="H30" s="61"/>
    </row>
    <row r="31" spans="1:8">
      <c r="A31" s="57" t="s">
        <v>123</v>
      </c>
      <c r="G31" s="61"/>
      <c r="H31" s="61"/>
    </row>
    <row r="32" spans="1:8">
      <c r="A32" s="57" t="s">
        <v>124</v>
      </c>
      <c r="B32" s="70">
        <v>1362.54367</v>
      </c>
      <c r="C32" s="239">
        <v>2347.3698469999999</v>
      </c>
      <c r="D32" s="239">
        <v>3370.723947</v>
      </c>
      <c r="E32" s="239">
        <v>3929.8485770000002</v>
      </c>
      <c r="F32" s="239">
        <v>5214.5024569999996</v>
      </c>
      <c r="G32" s="61"/>
      <c r="H32" s="61"/>
    </row>
    <row r="33" spans="1:8">
      <c r="A33" s="57" t="s">
        <v>125</v>
      </c>
      <c r="G33" s="61"/>
      <c r="H33" s="61"/>
    </row>
    <row r="34" spans="1:8">
      <c r="A34" s="57" t="s">
        <v>126</v>
      </c>
      <c r="G34" s="61"/>
      <c r="H34" s="61"/>
    </row>
    <row r="35" spans="1:8">
      <c r="A35" s="57" t="s">
        <v>127</v>
      </c>
      <c r="G35" s="61"/>
      <c r="H35" s="61"/>
    </row>
    <row r="36" spans="1:8">
      <c r="A36" s="57" t="s">
        <v>128</v>
      </c>
      <c r="G36" s="61"/>
      <c r="H36" s="61"/>
    </row>
    <row r="37" spans="1:8">
      <c r="A37" s="57" t="s">
        <v>129</v>
      </c>
      <c r="G37" s="61"/>
      <c r="H37" s="61"/>
    </row>
    <row r="38" spans="1:8">
      <c r="A38" s="57" t="s">
        <v>130</v>
      </c>
      <c r="B38" s="70">
        <v>127.14193999999999</v>
      </c>
      <c r="C38" s="239">
        <v>103.96126700000001</v>
      </c>
      <c r="D38" s="239">
        <v>520.99787800000001</v>
      </c>
      <c r="E38" s="239">
        <v>537.96783099999993</v>
      </c>
      <c r="F38" s="239">
        <v>1024.4126859999999</v>
      </c>
      <c r="G38" s="61"/>
      <c r="H38" s="61"/>
    </row>
    <row r="39" spans="1:8">
      <c r="A39" s="57" t="s">
        <v>131</v>
      </c>
      <c r="G39" s="61"/>
      <c r="H39" s="61"/>
    </row>
    <row r="40" spans="1:8">
      <c r="A40" s="57" t="s">
        <v>132</v>
      </c>
      <c r="G40" s="61"/>
      <c r="H40" s="61"/>
    </row>
    <row r="41" spans="1:8">
      <c r="A41" s="57" t="s">
        <v>133</v>
      </c>
      <c r="B41" s="70">
        <v>261.05666600000001</v>
      </c>
      <c r="C41" s="239">
        <v>173.20355499999999</v>
      </c>
      <c r="D41" s="239">
        <v>144.20780300000001</v>
      </c>
      <c r="E41" s="239">
        <v>59.130115000000004</v>
      </c>
      <c r="F41" s="239">
        <v>357.88410800000003</v>
      </c>
      <c r="G41" s="61"/>
      <c r="H41" s="61"/>
    </row>
    <row r="42" spans="1:8">
      <c r="A42" s="57" t="s">
        <v>134</v>
      </c>
      <c r="B42" s="70">
        <v>128.33126000000001</v>
      </c>
      <c r="C42" s="239">
        <v>194.82960299999999</v>
      </c>
      <c r="D42" s="239">
        <v>592.77303800000004</v>
      </c>
      <c r="E42" s="239">
        <v>898.99347299999999</v>
      </c>
      <c r="F42" s="239">
        <v>1118.176813</v>
      </c>
      <c r="G42" s="61">
        <f>F42</f>
        <v>1118.176813</v>
      </c>
      <c r="H42" s="61"/>
    </row>
    <row r="43" spans="1:8">
      <c r="A43" s="57" t="s">
        <v>135</v>
      </c>
      <c r="G43" s="61"/>
      <c r="H43" s="61"/>
    </row>
    <row r="44" spans="1:8">
      <c r="A44" s="57" t="s">
        <v>136</v>
      </c>
      <c r="G44" s="61"/>
      <c r="H44" s="61"/>
    </row>
    <row r="45" spans="1:8">
      <c r="A45" s="57" t="s">
        <v>137</v>
      </c>
      <c r="G45" s="61"/>
      <c r="H45" s="61"/>
    </row>
    <row r="46" spans="1:8">
      <c r="A46" s="60" t="s">
        <v>138</v>
      </c>
      <c r="B46" s="244">
        <f t="shared" ref="B46:G46" si="1">SUM(B26:B45)</f>
        <v>1879.0735359999999</v>
      </c>
      <c r="C46" s="244">
        <f t="shared" si="1"/>
        <v>2819.3642720000003</v>
      </c>
      <c r="D46" s="244">
        <f t="shared" si="1"/>
        <v>4628.7026660000001</v>
      </c>
      <c r="E46" s="244">
        <f t="shared" si="1"/>
        <v>5425.939996000001</v>
      </c>
      <c r="F46" s="244">
        <f t="shared" si="1"/>
        <v>8712.5416729999997</v>
      </c>
      <c r="G46" s="244">
        <f t="shared" si="1"/>
        <v>2115.7424220000003</v>
      </c>
      <c r="H46" s="101"/>
    </row>
    <row r="47" spans="1:8">
      <c r="A47" s="57" t="s">
        <v>139</v>
      </c>
      <c r="G47" s="61"/>
      <c r="H47" s="61"/>
    </row>
    <row r="48" spans="1:8">
      <c r="A48" s="57" t="s">
        <v>140</v>
      </c>
      <c r="G48" s="61"/>
      <c r="H48" s="61"/>
    </row>
    <row r="49" spans="1:8">
      <c r="A49" s="60" t="s">
        <v>12</v>
      </c>
      <c r="B49" s="244">
        <f t="shared" ref="B49:E49" si="2">B46+B24</f>
        <v>32300.085928</v>
      </c>
      <c r="C49" s="244">
        <f t="shared" si="2"/>
        <v>40229.155306000001</v>
      </c>
      <c r="D49" s="244">
        <f t="shared" si="2"/>
        <v>74677.170671999993</v>
      </c>
      <c r="E49" s="244">
        <f t="shared" si="2"/>
        <v>162492.85173900001</v>
      </c>
      <c r="F49" s="244">
        <f t="shared" ref="F49" si="3">F46+F24</f>
        <v>160205.60983300002</v>
      </c>
      <c r="G49" s="244">
        <f>G46+G24</f>
        <v>70928.504163999998</v>
      </c>
      <c r="H49" s="101"/>
    </row>
    <row r="50" spans="1:8">
      <c r="A50" s="60" t="s">
        <v>141</v>
      </c>
      <c r="B50" s="244"/>
      <c r="C50" s="104" t="s">
        <v>49</v>
      </c>
      <c r="D50" s="104" t="s">
        <v>49</v>
      </c>
      <c r="E50" s="104" t="s">
        <v>49</v>
      </c>
      <c r="F50" s="104" t="s">
        <v>49</v>
      </c>
      <c r="G50" s="58"/>
      <c r="H50" s="58"/>
    </row>
    <row r="51" spans="1:8">
      <c r="A51" s="57" t="s">
        <v>142</v>
      </c>
      <c r="B51" s="70">
        <v>0</v>
      </c>
      <c r="C51" s="239">
        <v>0</v>
      </c>
      <c r="D51" s="239">
        <v>2000</v>
      </c>
      <c r="E51" s="239">
        <v>1000</v>
      </c>
      <c r="F51" s="239">
        <v>0</v>
      </c>
      <c r="G51" s="61"/>
      <c r="H51" s="61"/>
    </row>
    <row r="52" spans="1:8">
      <c r="A52" s="57" t="s">
        <v>143</v>
      </c>
      <c r="G52" s="61"/>
      <c r="H52" s="61"/>
    </row>
    <row r="53" spans="1:8">
      <c r="A53" s="57" t="s">
        <v>144</v>
      </c>
      <c r="G53" s="61"/>
      <c r="H53" s="61"/>
    </row>
    <row r="54" spans="1:8">
      <c r="G54" s="61"/>
      <c r="H54" s="61"/>
    </row>
    <row r="55" spans="1:8">
      <c r="A55" s="102" t="s">
        <v>302</v>
      </c>
      <c r="B55" s="239">
        <v>2663.7918059999997</v>
      </c>
      <c r="C55" s="239">
        <v>3112.5502000000001</v>
      </c>
      <c r="D55" s="239">
        <v>5003.7964069999998</v>
      </c>
      <c r="E55" s="239">
        <v>4891.9063509999996</v>
      </c>
      <c r="F55" s="239">
        <v>13010.522062</v>
      </c>
      <c r="G55" s="61"/>
      <c r="H55" s="61"/>
    </row>
    <row r="56" spans="1:8">
      <c r="A56" s="57" t="s">
        <v>147</v>
      </c>
      <c r="B56" s="70">
        <v>1727.73669</v>
      </c>
      <c r="C56" s="239">
        <v>766.58694100000002</v>
      </c>
      <c r="D56" s="239">
        <v>560.39704500000005</v>
      </c>
      <c r="E56" s="239">
        <v>569.27803200000005</v>
      </c>
      <c r="F56" s="239">
        <v>0</v>
      </c>
      <c r="G56" s="61"/>
      <c r="H56" s="61"/>
    </row>
    <row r="57" spans="1:8">
      <c r="A57" s="102" t="s">
        <v>737</v>
      </c>
      <c r="B57" s="239"/>
      <c r="C57" s="239">
        <v>0</v>
      </c>
      <c r="D57" s="239">
        <v>0</v>
      </c>
      <c r="E57" s="239">
        <v>0</v>
      </c>
      <c r="F57" s="239">
        <v>1948.4577280000001</v>
      </c>
      <c r="G57" s="61"/>
      <c r="H57" s="61"/>
    </row>
    <row r="58" spans="1:8">
      <c r="A58" s="57" t="s">
        <v>148</v>
      </c>
      <c r="B58" s="70">
        <v>2167.3470560000001</v>
      </c>
      <c r="C58" s="239">
        <v>3220.683681</v>
      </c>
      <c r="D58" s="239">
        <v>3961.5708210000003</v>
      </c>
      <c r="E58" s="239">
        <v>4691.0108799999998</v>
      </c>
      <c r="F58" s="239">
        <v>3979.4600600000003</v>
      </c>
      <c r="G58" s="61"/>
      <c r="H58" s="61"/>
    </row>
    <row r="59" spans="1:8">
      <c r="A59" s="57" t="s">
        <v>149</v>
      </c>
      <c r="B59" s="70">
        <v>512.72519199999999</v>
      </c>
      <c r="C59" s="239">
        <v>704.36960299999998</v>
      </c>
      <c r="D59" s="239">
        <v>1828.9356319999999</v>
      </c>
      <c r="E59" s="239">
        <v>857.708842</v>
      </c>
      <c r="F59" s="239">
        <v>444.72011799999996</v>
      </c>
      <c r="G59" s="61"/>
      <c r="H59" s="61"/>
    </row>
    <row r="60" spans="1:8">
      <c r="A60" s="57" t="s">
        <v>150</v>
      </c>
      <c r="C60" s="239"/>
      <c r="D60" s="239"/>
      <c r="E60" s="239"/>
      <c r="F60" s="239"/>
      <c r="G60" s="61"/>
      <c r="H60" s="61"/>
    </row>
    <row r="61" spans="1:8">
      <c r="A61" s="57" t="s">
        <v>151</v>
      </c>
      <c r="G61" s="61"/>
      <c r="H61" s="61"/>
    </row>
    <row r="62" spans="1:8">
      <c r="A62" s="57" t="s">
        <v>152</v>
      </c>
      <c r="B62" s="70">
        <v>1640.2969539999999</v>
      </c>
      <c r="C62" s="239">
        <v>5425.4978860000001</v>
      </c>
      <c r="D62" s="239">
        <v>10586.134633</v>
      </c>
      <c r="E62" s="239">
        <v>3798.1299880000001</v>
      </c>
      <c r="F62" s="239">
        <v>2302.6347289999999</v>
      </c>
      <c r="G62" s="61"/>
      <c r="H62" s="61"/>
    </row>
    <row r="63" spans="1:8">
      <c r="A63" s="57" t="s">
        <v>153</v>
      </c>
      <c r="G63" s="61"/>
      <c r="H63" s="61"/>
    </row>
    <row r="64" spans="1:8">
      <c r="A64" s="57" t="s">
        <v>154</v>
      </c>
      <c r="G64" s="61"/>
      <c r="H64" s="61"/>
    </row>
    <row r="65" spans="1:8">
      <c r="A65" s="57" t="s">
        <v>155</v>
      </c>
      <c r="G65" s="61"/>
      <c r="H65" s="61"/>
    </row>
    <row r="66" spans="1:8">
      <c r="A66" s="57" t="s">
        <v>156</v>
      </c>
      <c r="G66" s="61"/>
      <c r="H66" s="61"/>
    </row>
    <row r="67" spans="1:8">
      <c r="A67" s="57" t="s">
        <v>157</v>
      </c>
      <c r="G67" s="61"/>
      <c r="H67" s="61"/>
    </row>
    <row r="68" spans="1:8">
      <c r="A68" s="57" t="s">
        <v>158</v>
      </c>
      <c r="B68" s="70">
        <v>2113.3194039999998</v>
      </c>
      <c r="C68" s="239">
        <v>4227.8086400000002</v>
      </c>
      <c r="D68" s="239">
        <v>7350.8412749999998</v>
      </c>
      <c r="E68" s="239">
        <v>6497.2026320000004</v>
      </c>
      <c r="F68" s="239">
        <v>5225.365914</v>
      </c>
      <c r="G68" s="61"/>
      <c r="H68" s="61"/>
    </row>
    <row r="69" spans="1:8">
      <c r="A69" s="57" t="s">
        <v>159</v>
      </c>
      <c r="G69" s="61"/>
      <c r="H69" s="61"/>
    </row>
    <row r="70" spans="1:8">
      <c r="A70" s="57" t="s">
        <v>160</v>
      </c>
      <c r="G70" s="61"/>
      <c r="H70" s="61"/>
    </row>
    <row r="71" spans="1:8">
      <c r="A71" s="57" t="s">
        <v>161</v>
      </c>
      <c r="G71" s="61"/>
      <c r="H71" s="61"/>
    </row>
    <row r="72" spans="1:8">
      <c r="A72" s="60" t="s">
        <v>162</v>
      </c>
      <c r="B72" s="244">
        <f t="shared" ref="B72:G72" si="4">SUM(B51:B71)</f>
        <v>10825.217101999999</v>
      </c>
      <c r="C72" s="244">
        <f t="shared" si="4"/>
        <v>17457.496951000001</v>
      </c>
      <c r="D72" s="244">
        <f t="shared" si="4"/>
        <v>31291.675813000002</v>
      </c>
      <c r="E72" s="244">
        <f t="shared" si="4"/>
        <v>22305.236725000002</v>
      </c>
      <c r="F72" s="244">
        <f t="shared" si="4"/>
        <v>26911.160610999999</v>
      </c>
      <c r="G72" s="244">
        <f t="shared" si="4"/>
        <v>0</v>
      </c>
      <c r="H72" s="101"/>
    </row>
    <row r="73" spans="1:8">
      <c r="A73" s="60" t="s">
        <v>163</v>
      </c>
      <c r="B73" s="244"/>
      <c r="C73" s="104" t="s">
        <v>49</v>
      </c>
      <c r="D73" s="104" t="s">
        <v>49</v>
      </c>
      <c r="E73" s="104" t="s">
        <v>49</v>
      </c>
      <c r="F73" s="104" t="s">
        <v>49</v>
      </c>
      <c r="G73" s="58"/>
      <c r="H73" s="58"/>
    </row>
    <row r="74" spans="1:8">
      <c r="A74" s="57" t="s">
        <v>164</v>
      </c>
      <c r="G74" s="61"/>
      <c r="H74" s="61"/>
    </row>
    <row r="75" spans="1:8">
      <c r="A75" s="57" t="s">
        <v>165</v>
      </c>
      <c r="G75" s="61"/>
      <c r="H75" s="61"/>
    </row>
    <row r="76" spans="1:8">
      <c r="A76" s="57" t="s">
        <v>166</v>
      </c>
      <c r="G76" s="61"/>
      <c r="H76" s="61"/>
    </row>
    <row r="77" spans="1:8">
      <c r="A77" s="57" t="s">
        <v>167</v>
      </c>
      <c r="G77" s="61"/>
      <c r="H77" s="61"/>
    </row>
    <row r="78" spans="1:8">
      <c r="A78" s="57" t="s">
        <v>168</v>
      </c>
      <c r="G78" s="61"/>
      <c r="H78" s="61"/>
    </row>
    <row r="79" spans="1:8">
      <c r="A79" s="57" t="s">
        <v>169</v>
      </c>
      <c r="B79" s="70">
        <v>803.21575700000005</v>
      </c>
      <c r="C79" s="239">
        <v>1013.390921</v>
      </c>
      <c r="D79" s="239">
        <v>1751.991039</v>
      </c>
      <c r="E79" s="239">
        <v>2294.4832070000002</v>
      </c>
      <c r="F79" s="239">
        <v>1599.2313570000001</v>
      </c>
      <c r="G79" s="61"/>
      <c r="H79" s="61"/>
    </row>
    <row r="80" spans="1:8">
      <c r="A80" s="57" t="s">
        <v>170</v>
      </c>
      <c r="G80" s="61"/>
      <c r="H80" s="61"/>
    </row>
    <row r="81" spans="1:8">
      <c r="A81" s="57" t="s">
        <v>171</v>
      </c>
      <c r="G81" s="61"/>
      <c r="H81" s="61"/>
    </row>
    <row r="82" spans="1:8">
      <c r="A82" s="57" t="s">
        <v>172</v>
      </c>
      <c r="G82" s="61"/>
      <c r="H82" s="61"/>
    </row>
    <row r="83" spans="1:8">
      <c r="A83" s="57" t="s">
        <v>173</v>
      </c>
      <c r="G83" s="61"/>
      <c r="H83" s="61"/>
    </row>
    <row r="84" spans="1:8">
      <c r="A84" s="57" t="s">
        <v>174</v>
      </c>
      <c r="G84" s="61"/>
      <c r="H84" s="61"/>
    </row>
    <row r="85" spans="1:8">
      <c r="A85" s="60" t="s">
        <v>175</v>
      </c>
      <c r="B85" s="244">
        <f t="shared" ref="B85:G85" si="5">SUM(B74:B84)</f>
        <v>803.21575700000005</v>
      </c>
      <c r="C85" s="244">
        <f t="shared" si="5"/>
        <v>1013.390921</v>
      </c>
      <c r="D85" s="244">
        <f t="shared" si="5"/>
        <v>1751.991039</v>
      </c>
      <c r="E85" s="244">
        <f t="shared" si="5"/>
        <v>2294.4832070000002</v>
      </c>
      <c r="F85" s="244">
        <f t="shared" si="5"/>
        <v>1599.2313570000001</v>
      </c>
      <c r="G85" s="244">
        <f t="shared" si="5"/>
        <v>0</v>
      </c>
      <c r="H85" s="101"/>
    </row>
    <row r="86" spans="1:8">
      <c r="A86" s="57" t="s">
        <v>176</v>
      </c>
      <c r="G86" s="70"/>
      <c r="H86" s="61"/>
    </row>
    <row r="87" spans="1:8">
      <c r="A87" s="57" t="s">
        <v>177</v>
      </c>
      <c r="C87" s="244"/>
      <c r="D87" s="244"/>
      <c r="E87" s="244"/>
      <c r="F87" s="244"/>
      <c r="G87" s="244"/>
      <c r="H87" s="101"/>
    </row>
    <row r="88" spans="1:8">
      <c r="A88" s="60" t="s">
        <v>178</v>
      </c>
      <c r="B88" s="244">
        <f t="shared" ref="B88:G88" si="6">B85+B72</f>
        <v>11628.432858999999</v>
      </c>
      <c r="C88" s="244">
        <f t="shared" si="6"/>
        <v>18470.887871999999</v>
      </c>
      <c r="D88" s="244">
        <f t="shared" si="6"/>
        <v>33043.666852000002</v>
      </c>
      <c r="E88" s="244">
        <f t="shared" si="6"/>
        <v>24599.719932000004</v>
      </c>
      <c r="F88" s="244">
        <f t="shared" si="6"/>
        <v>28510.391968</v>
      </c>
      <c r="G88" s="244">
        <f t="shared" si="6"/>
        <v>0</v>
      </c>
      <c r="H88" s="101"/>
    </row>
    <row r="89" spans="1:8">
      <c r="A89" s="60" t="s">
        <v>58</v>
      </c>
      <c r="B89" s="244"/>
      <c r="C89" s="104"/>
      <c r="D89" s="104"/>
      <c r="E89" s="104"/>
      <c r="F89" s="104"/>
      <c r="G89" s="58"/>
      <c r="H89" s="58"/>
    </row>
    <row r="90" spans="1:8">
      <c r="A90" s="57" t="s">
        <v>179</v>
      </c>
      <c r="B90" s="70">
        <v>11256.780009999999</v>
      </c>
      <c r="C90" s="239">
        <v>11256.780009999999</v>
      </c>
      <c r="D90" s="239">
        <v>13516.7454</v>
      </c>
      <c r="E90" s="239">
        <v>18022.345399999998</v>
      </c>
      <c r="F90" s="239">
        <v>18022.345399999998</v>
      </c>
      <c r="G90" s="61"/>
      <c r="H90" s="61"/>
    </row>
    <row r="91" spans="1:8">
      <c r="A91" s="57" t="s">
        <v>180</v>
      </c>
      <c r="C91" s="239"/>
      <c r="D91" s="239"/>
      <c r="E91" s="239"/>
      <c r="F91" s="239"/>
      <c r="G91" s="61"/>
      <c r="H91" s="61"/>
    </row>
    <row r="92" spans="1:8">
      <c r="A92" s="57" t="s">
        <v>181</v>
      </c>
      <c r="G92" s="61"/>
      <c r="H92" s="61"/>
    </row>
    <row r="93" spans="1:8">
      <c r="A93" s="57" t="s">
        <v>182</v>
      </c>
      <c r="B93" s="70">
        <v>40273.896007999996</v>
      </c>
      <c r="C93" s="239">
        <v>39284.247288999999</v>
      </c>
      <c r="D93" s="239">
        <v>39586.758989999995</v>
      </c>
      <c r="E93" s="239">
        <v>122245.093182</v>
      </c>
      <c r="F93" s="239">
        <v>122817.50787999999</v>
      </c>
      <c r="G93" s="61"/>
      <c r="H93" s="61"/>
    </row>
    <row r="94" spans="1:8">
      <c r="A94" s="57" t="s">
        <v>183</v>
      </c>
      <c r="B94" s="239">
        <v>-11256.78001</v>
      </c>
      <c r="C94" s="239">
        <v>-11256.78001</v>
      </c>
      <c r="D94" s="239">
        <v>0</v>
      </c>
      <c r="E94" s="239">
        <v>0</v>
      </c>
      <c r="F94" s="239">
        <v>0</v>
      </c>
      <c r="G94" s="61"/>
      <c r="H94" s="61"/>
    </row>
    <row r="95" spans="1:8">
      <c r="A95" s="57" t="s">
        <v>184</v>
      </c>
      <c r="B95" s="70">
        <v>-284.37991199999999</v>
      </c>
      <c r="C95" s="239">
        <v>-486.241737</v>
      </c>
      <c r="D95" s="239">
        <v>871.16005600000005</v>
      </c>
      <c r="E95" s="239">
        <v>862.24587499999996</v>
      </c>
      <c r="F95" s="239">
        <v>868.58409000000006</v>
      </c>
      <c r="G95" s="61"/>
      <c r="H95" s="61"/>
    </row>
    <row r="96" spans="1:8">
      <c r="A96" s="57" t="s">
        <v>185</v>
      </c>
      <c r="G96" s="61"/>
      <c r="H96" s="61"/>
    </row>
    <row r="97" spans="1:8">
      <c r="A97" s="57" t="s">
        <v>186</v>
      </c>
      <c r="B97" s="70">
        <v>607.88955399999998</v>
      </c>
      <c r="C97" s="239">
        <v>0</v>
      </c>
      <c r="D97" s="239">
        <v>1007.3026970000001</v>
      </c>
      <c r="E97" s="239">
        <v>1729.7303260000001</v>
      </c>
      <c r="F97" s="239">
        <v>1728.6352160000001</v>
      </c>
      <c r="G97" s="61"/>
      <c r="H97" s="61"/>
    </row>
    <row r="98" spans="1:8">
      <c r="A98" s="57" t="s">
        <v>187</v>
      </c>
      <c r="G98" s="61"/>
      <c r="H98" s="61"/>
    </row>
    <row r="99" spans="1:8">
      <c r="A99" s="57" t="s">
        <v>188</v>
      </c>
      <c r="B99" s="70">
        <v>-19925.752581000001</v>
      </c>
      <c r="C99" s="239">
        <v>-17039.738118000001</v>
      </c>
      <c r="D99" s="239">
        <v>-13348.463323</v>
      </c>
      <c r="E99" s="239">
        <v>-4966.2829759999995</v>
      </c>
      <c r="F99" s="239">
        <v>-11741.854721</v>
      </c>
      <c r="G99" s="61"/>
      <c r="H99" s="61"/>
    </row>
    <row r="100" spans="1:8">
      <c r="A100" s="57" t="s">
        <v>189</v>
      </c>
      <c r="G100" s="61"/>
      <c r="H100" s="61"/>
    </row>
    <row r="101" spans="1:8">
      <c r="A101" s="57" t="s">
        <v>190</v>
      </c>
      <c r="G101" s="61"/>
      <c r="H101" s="61"/>
    </row>
    <row r="102" spans="1:8">
      <c r="A102" s="57" t="s">
        <v>191</v>
      </c>
      <c r="G102" s="61"/>
      <c r="H102" s="61"/>
    </row>
    <row r="103" spans="1:8">
      <c r="A103" s="57" t="s">
        <v>192</v>
      </c>
      <c r="G103" s="61"/>
      <c r="H103" s="61"/>
    </row>
    <row r="104" spans="1:8">
      <c r="A104" s="60" t="s">
        <v>193</v>
      </c>
      <c r="B104" s="244">
        <f t="shared" ref="B104:G104" si="7">SUM(B90:B103)</f>
        <v>20671.653069</v>
      </c>
      <c r="C104" s="244">
        <f t="shared" si="7"/>
        <v>21758.267433999994</v>
      </c>
      <c r="D104" s="244">
        <f t="shared" si="7"/>
        <v>41633.503819999998</v>
      </c>
      <c r="E104" s="244">
        <f t="shared" si="7"/>
        <v>137893.131807</v>
      </c>
      <c r="F104" s="244">
        <f t="shared" si="7"/>
        <v>131695.21786499996</v>
      </c>
      <c r="G104" s="244">
        <f t="shared" si="7"/>
        <v>0</v>
      </c>
      <c r="H104" s="61"/>
    </row>
    <row r="105" spans="1:8">
      <c r="A105" s="57" t="s">
        <v>194</v>
      </c>
      <c r="C105" s="70">
        <v>0</v>
      </c>
      <c r="D105" s="70">
        <v>0</v>
      </c>
      <c r="E105" s="70">
        <v>0</v>
      </c>
      <c r="F105" s="70">
        <v>0</v>
      </c>
      <c r="G105" s="70">
        <v>0</v>
      </c>
      <c r="H105" s="61"/>
    </row>
    <row r="106" spans="1:8">
      <c r="A106" s="60" t="s">
        <v>195</v>
      </c>
      <c r="B106" s="244">
        <f t="shared" ref="B106:G106" si="8">B104+B105</f>
        <v>20671.653069</v>
      </c>
      <c r="C106" s="244">
        <f t="shared" si="8"/>
        <v>21758.267433999994</v>
      </c>
      <c r="D106" s="244">
        <f t="shared" si="8"/>
        <v>41633.503819999998</v>
      </c>
      <c r="E106" s="244">
        <f t="shared" si="8"/>
        <v>137893.131807</v>
      </c>
      <c r="F106" s="244">
        <f t="shared" si="8"/>
        <v>131695.21786499996</v>
      </c>
      <c r="G106" s="244">
        <f t="shared" si="8"/>
        <v>0</v>
      </c>
      <c r="H106" s="61"/>
    </row>
    <row r="107" spans="1:8">
      <c r="A107" s="57" t="s">
        <v>196</v>
      </c>
      <c r="G107" s="61"/>
      <c r="H107" s="61"/>
    </row>
    <row r="108" spans="1:8">
      <c r="A108" s="57" t="s">
        <v>197</v>
      </c>
      <c r="G108" s="61"/>
      <c r="H108" s="61"/>
    </row>
    <row r="109" spans="1:8">
      <c r="A109" s="57" t="s">
        <v>198</v>
      </c>
      <c r="B109" s="70">
        <f>B106+B88</f>
        <v>32300.085928</v>
      </c>
      <c r="C109" s="70">
        <f>C106+C88</f>
        <v>40229.155305999993</v>
      </c>
      <c r="D109" s="70">
        <f>D106+D88</f>
        <v>74677.170672000007</v>
      </c>
      <c r="E109" s="70">
        <f>E106+E88</f>
        <v>162492.85173900001</v>
      </c>
      <c r="F109" s="70">
        <f>F106+F88</f>
        <v>160205.60983299997</v>
      </c>
      <c r="G109" s="61"/>
      <c r="H109" s="61"/>
    </row>
    <row r="110" spans="1:8">
      <c r="C110" s="104"/>
      <c r="D110" s="104"/>
      <c r="E110" s="104"/>
      <c r="F110" s="104"/>
      <c r="G110" s="58"/>
      <c r="H110" s="58"/>
    </row>
    <row r="111" spans="1:8" ht="12.75" customHeight="1">
      <c r="A111" s="57" t="s">
        <v>741</v>
      </c>
      <c r="C111" s="104"/>
      <c r="D111" s="104"/>
      <c r="E111" s="104"/>
      <c r="F111" s="104"/>
      <c r="G111" s="251">
        <f>G49-G88</f>
        <v>70928.504163999998</v>
      </c>
      <c r="H111" s="58"/>
    </row>
    <row r="112" spans="1:8">
      <c r="A112" s="57" t="s">
        <v>746</v>
      </c>
      <c r="C112" s="104"/>
      <c r="D112" s="104"/>
      <c r="E112" s="104"/>
      <c r="F112" s="104"/>
      <c r="G112" s="58"/>
      <c r="H112" s="58"/>
    </row>
    <row r="113" spans="1:8">
      <c r="C113" s="104"/>
      <c r="D113" s="104"/>
      <c r="E113" s="104"/>
      <c r="F113" s="104"/>
      <c r="G113" s="58"/>
      <c r="H113" s="58"/>
    </row>
    <row r="114" spans="1:8">
      <c r="C114" s="104"/>
      <c r="D114" s="104"/>
      <c r="E114" s="104"/>
      <c r="F114" s="104"/>
      <c r="G114" s="58"/>
      <c r="H114" s="58"/>
    </row>
    <row r="115" spans="1:8">
      <c r="C115" s="104"/>
      <c r="D115" s="104"/>
      <c r="E115" s="104"/>
      <c r="F115" s="104"/>
      <c r="G115" s="58"/>
      <c r="H115" s="58"/>
    </row>
    <row r="116" spans="1:8">
      <c r="C116" s="104"/>
      <c r="D116" s="104"/>
      <c r="E116" s="104"/>
      <c r="F116" s="104"/>
      <c r="G116" s="58"/>
      <c r="H116" s="58"/>
    </row>
    <row r="117" spans="1:8">
      <c r="C117" s="104"/>
      <c r="D117" s="104"/>
      <c r="E117" s="104"/>
      <c r="F117" s="104"/>
      <c r="G117" s="58"/>
      <c r="H117" s="58"/>
    </row>
    <row r="121" spans="1:8">
      <c r="A121" s="57" t="s">
        <v>199</v>
      </c>
    </row>
  </sheetData>
  <phoneticPr fontId="2" type="noConversion"/>
  <conditionalFormatting sqref="A55:B55">
    <cfRule type="cellIs" dxfId="184" priority="29" stopIfTrue="1" operator="lessThan">
      <formula>0</formula>
    </cfRule>
  </conditionalFormatting>
  <conditionalFormatting sqref="C5:F5">
    <cfRule type="cellIs" dxfId="183" priority="28" stopIfTrue="1" operator="lessThan">
      <formula>0</formula>
    </cfRule>
  </conditionalFormatting>
  <conditionalFormatting sqref="C8:F8">
    <cfRule type="cellIs" dxfId="182" priority="27" stopIfTrue="1" operator="lessThan">
      <formula>0</formula>
    </cfRule>
  </conditionalFormatting>
  <conditionalFormatting sqref="C9:F9">
    <cfRule type="cellIs" dxfId="181" priority="26" stopIfTrue="1" operator="lessThan">
      <formula>0</formula>
    </cfRule>
  </conditionalFormatting>
  <conditionalFormatting sqref="C10:F10">
    <cfRule type="cellIs" dxfId="180" priority="25" stopIfTrue="1" operator="lessThan">
      <formula>0</formula>
    </cfRule>
  </conditionalFormatting>
  <conditionalFormatting sqref="C12:F12">
    <cfRule type="cellIs" dxfId="179" priority="24" stopIfTrue="1" operator="lessThan">
      <formula>0</formula>
    </cfRule>
  </conditionalFormatting>
  <conditionalFormatting sqref="C15:F15">
    <cfRule type="cellIs" dxfId="178" priority="23" stopIfTrue="1" operator="lessThan">
      <formula>0</formula>
    </cfRule>
  </conditionalFormatting>
  <conditionalFormatting sqref="C20:F20">
    <cfRule type="cellIs" dxfId="177" priority="22" stopIfTrue="1" operator="lessThan">
      <formula>0</formula>
    </cfRule>
  </conditionalFormatting>
  <conditionalFormatting sqref="C30:F30">
    <cfRule type="cellIs" dxfId="176" priority="21" stopIfTrue="1" operator="lessThan">
      <formula>0</formula>
    </cfRule>
  </conditionalFormatting>
  <conditionalFormatting sqref="C32:F32">
    <cfRule type="cellIs" dxfId="175" priority="20" stopIfTrue="1" operator="lessThan">
      <formula>0</formula>
    </cfRule>
  </conditionalFormatting>
  <conditionalFormatting sqref="C38:F38">
    <cfRule type="cellIs" dxfId="174" priority="19" stopIfTrue="1" operator="lessThan">
      <formula>0</formula>
    </cfRule>
  </conditionalFormatting>
  <conditionalFormatting sqref="C41:F41">
    <cfRule type="cellIs" dxfId="173" priority="18" stopIfTrue="1" operator="lessThan">
      <formula>0</formula>
    </cfRule>
  </conditionalFormatting>
  <conditionalFormatting sqref="C99:F99">
    <cfRule type="cellIs" dxfId="172" priority="2" stopIfTrue="1" operator="lessThan">
      <formula>0</formula>
    </cfRule>
  </conditionalFormatting>
  <conditionalFormatting sqref="C42:F42">
    <cfRule type="cellIs" dxfId="171" priority="17" stopIfTrue="1" operator="lessThan">
      <formula>0</formula>
    </cfRule>
  </conditionalFormatting>
  <conditionalFormatting sqref="C55:F55">
    <cfRule type="cellIs" dxfId="170" priority="16" stopIfTrue="1" operator="lessThan">
      <formula>0</formula>
    </cfRule>
  </conditionalFormatting>
  <conditionalFormatting sqref="C58:F60">
    <cfRule type="cellIs" dxfId="169" priority="15" stopIfTrue="1" operator="lessThan">
      <formula>0</formula>
    </cfRule>
  </conditionalFormatting>
  <conditionalFormatting sqref="C62:F62">
    <cfRule type="cellIs" dxfId="168" priority="14" stopIfTrue="1" operator="lessThan">
      <formula>0</formula>
    </cfRule>
  </conditionalFormatting>
  <conditionalFormatting sqref="C68:F68">
    <cfRule type="cellIs" dxfId="167" priority="13" stopIfTrue="1" operator="lessThan">
      <formula>0</formula>
    </cfRule>
  </conditionalFormatting>
  <conditionalFormatting sqref="C56:F56">
    <cfRule type="cellIs" dxfId="166" priority="12" stopIfTrue="1" operator="lessThan">
      <formula>0</formula>
    </cfRule>
  </conditionalFormatting>
  <conditionalFormatting sqref="A57:B57">
    <cfRule type="cellIs" dxfId="165" priority="11" stopIfTrue="1" operator="lessThan">
      <formula>0</formula>
    </cfRule>
  </conditionalFormatting>
  <conditionalFormatting sqref="C57:F57">
    <cfRule type="cellIs" dxfId="164" priority="10" stopIfTrue="1" operator="lessThan">
      <formula>0</formula>
    </cfRule>
  </conditionalFormatting>
  <conditionalFormatting sqref="C51:F51">
    <cfRule type="cellIs" dxfId="163" priority="9" stopIfTrue="1" operator="lessThan">
      <formula>0</formula>
    </cfRule>
  </conditionalFormatting>
  <conditionalFormatting sqref="C79:F79">
    <cfRule type="cellIs" dxfId="162" priority="8" stopIfTrue="1" operator="lessThan">
      <formula>0</formula>
    </cfRule>
  </conditionalFormatting>
  <conditionalFormatting sqref="C90:F91">
    <cfRule type="cellIs" dxfId="161" priority="7" stopIfTrue="1" operator="lessThan">
      <formula>0</formula>
    </cfRule>
  </conditionalFormatting>
  <conditionalFormatting sqref="C93:F93">
    <cfRule type="cellIs" dxfId="160" priority="6" stopIfTrue="1" operator="lessThan">
      <formula>0</formula>
    </cfRule>
  </conditionalFormatting>
  <conditionalFormatting sqref="C94:F94">
    <cfRule type="cellIs" dxfId="159" priority="5" stopIfTrue="1" operator="lessThan">
      <formula>0</formula>
    </cfRule>
  </conditionalFormatting>
  <conditionalFormatting sqref="C95:F95">
    <cfRule type="cellIs" dxfId="158" priority="4" stopIfTrue="1" operator="lessThan">
      <formula>0</formula>
    </cfRule>
  </conditionalFormatting>
  <conditionalFormatting sqref="C97:F97">
    <cfRule type="cellIs" dxfId="157" priority="3" stopIfTrue="1" operator="lessThan">
      <formula>0</formula>
    </cfRule>
  </conditionalFormatting>
  <conditionalFormatting sqref="B94">
    <cfRule type="cellIs" dxfId="156" priority="1" stopIfTrue="1" operator="lessThan">
      <formula>0</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52"/>
  <sheetViews>
    <sheetView workbookViewId="0">
      <selection activeCell="K3" sqref="K3"/>
    </sheetView>
  </sheetViews>
  <sheetFormatPr defaultRowHeight="13"/>
  <cols>
    <col min="1" max="1" width="23.453125" style="57" customWidth="1"/>
    <col min="2" max="2" width="16.6328125" style="70" customWidth="1"/>
    <col min="3" max="7" width="14.7265625" style="57" customWidth="1"/>
    <col min="8" max="8" width="9" style="57"/>
    <col min="9" max="9" width="21.6328125" style="57" bestFit="1" customWidth="1"/>
    <col min="10" max="13" width="9" style="57"/>
    <col min="14" max="14" width="13.453125" style="57" bestFit="1" customWidth="1"/>
    <col min="15" max="257" width="9" style="57"/>
    <col min="258" max="258" width="46.36328125" style="57" bestFit="1" customWidth="1"/>
    <col min="259" max="259" width="15.08984375" style="57" bestFit="1" customWidth="1"/>
    <col min="260" max="262" width="16.08984375" style="57" bestFit="1" customWidth="1"/>
    <col min="263" max="263" width="15" style="57" bestFit="1" customWidth="1"/>
    <col min="264" max="513" width="9" style="57"/>
    <col min="514" max="514" width="46.36328125" style="57" bestFit="1" customWidth="1"/>
    <col min="515" max="515" width="15.08984375" style="57" bestFit="1" customWidth="1"/>
    <col min="516" max="518" width="16.08984375" style="57" bestFit="1" customWidth="1"/>
    <col min="519" max="519" width="15" style="57" bestFit="1" customWidth="1"/>
    <col min="520" max="769" width="9" style="57"/>
    <col min="770" max="770" width="46.36328125" style="57" bestFit="1" customWidth="1"/>
    <col min="771" max="771" width="15.08984375" style="57" bestFit="1" customWidth="1"/>
    <col min="772" max="774" width="16.08984375" style="57" bestFit="1" customWidth="1"/>
    <col min="775" max="775" width="15" style="57" bestFit="1" customWidth="1"/>
    <col min="776" max="1025" width="9" style="57"/>
    <col min="1026" max="1026" width="46.36328125" style="57" bestFit="1" customWidth="1"/>
    <col min="1027" max="1027" width="15.08984375" style="57" bestFit="1" customWidth="1"/>
    <col min="1028" max="1030" width="16.08984375" style="57" bestFit="1" customWidth="1"/>
    <col min="1031" max="1031" width="15" style="57" bestFit="1" customWidth="1"/>
    <col min="1032" max="1281" width="9" style="57"/>
    <col min="1282" max="1282" width="46.36328125" style="57" bestFit="1" customWidth="1"/>
    <col min="1283" max="1283" width="15.08984375" style="57" bestFit="1" customWidth="1"/>
    <col min="1284" max="1286" width="16.08984375" style="57" bestFit="1" customWidth="1"/>
    <col min="1287" max="1287" width="15" style="57" bestFit="1" customWidth="1"/>
    <col min="1288" max="1537" width="9" style="57"/>
    <col min="1538" max="1538" width="46.36328125" style="57" bestFit="1" customWidth="1"/>
    <col min="1539" max="1539" width="15.08984375" style="57" bestFit="1" customWidth="1"/>
    <col min="1540" max="1542" width="16.08984375" style="57" bestFit="1" customWidth="1"/>
    <col min="1543" max="1543" width="15" style="57" bestFit="1" customWidth="1"/>
    <col min="1544" max="1793" width="9" style="57"/>
    <col min="1794" max="1794" width="46.36328125" style="57" bestFit="1" customWidth="1"/>
    <col min="1795" max="1795" width="15.08984375" style="57" bestFit="1" customWidth="1"/>
    <col min="1796" max="1798" width="16.08984375" style="57" bestFit="1" customWidth="1"/>
    <col min="1799" max="1799" width="15" style="57" bestFit="1" customWidth="1"/>
    <col min="1800" max="2049" width="9" style="57"/>
    <col min="2050" max="2050" width="46.36328125" style="57" bestFit="1" customWidth="1"/>
    <col min="2051" max="2051" width="15.08984375" style="57" bestFit="1" customWidth="1"/>
    <col min="2052" max="2054" width="16.08984375" style="57" bestFit="1" customWidth="1"/>
    <col min="2055" max="2055" width="15" style="57" bestFit="1" customWidth="1"/>
    <col min="2056" max="2305" width="9" style="57"/>
    <col min="2306" max="2306" width="46.36328125" style="57" bestFit="1" customWidth="1"/>
    <col min="2307" max="2307" width="15.08984375" style="57" bestFit="1" customWidth="1"/>
    <col min="2308" max="2310" width="16.08984375" style="57" bestFit="1" customWidth="1"/>
    <col min="2311" max="2311" width="15" style="57" bestFit="1" customWidth="1"/>
    <col min="2312" max="2561" width="9" style="57"/>
    <col min="2562" max="2562" width="46.36328125" style="57" bestFit="1" customWidth="1"/>
    <col min="2563" max="2563" width="15.08984375" style="57" bestFit="1" customWidth="1"/>
    <col min="2564" max="2566" width="16.08984375" style="57" bestFit="1" customWidth="1"/>
    <col min="2567" max="2567" width="15" style="57" bestFit="1" customWidth="1"/>
    <col min="2568" max="2817" width="9" style="57"/>
    <col min="2818" max="2818" width="46.36328125" style="57" bestFit="1" customWidth="1"/>
    <col min="2819" max="2819" width="15.08984375" style="57" bestFit="1" customWidth="1"/>
    <col min="2820" max="2822" width="16.08984375" style="57" bestFit="1" customWidth="1"/>
    <col min="2823" max="2823" width="15" style="57" bestFit="1" customWidth="1"/>
    <col min="2824" max="3073" width="9" style="57"/>
    <col min="3074" max="3074" width="46.36328125" style="57" bestFit="1" customWidth="1"/>
    <col min="3075" max="3075" width="15.08984375" style="57" bestFit="1" customWidth="1"/>
    <col min="3076" max="3078" width="16.08984375" style="57" bestFit="1" customWidth="1"/>
    <col min="3079" max="3079" width="15" style="57" bestFit="1" customWidth="1"/>
    <col min="3080" max="3329" width="9" style="57"/>
    <col min="3330" max="3330" width="46.36328125" style="57" bestFit="1" customWidth="1"/>
    <col min="3331" max="3331" width="15.08984375" style="57" bestFit="1" customWidth="1"/>
    <col min="3332" max="3334" width="16.08984375" style="57" bestFit="1" customWidth="1"/>
    <col min="3335" max="3335" width="15" style="57" bestFit="1" customWidth="1"/>
    <col min="3336" max="3585" width="9" style="57"/>
    <col min="3586" max="3586" width="46.36328125" style="57" bestFit="1" customWidth="1"/>
    <col min="3587" max="3587" width="15.08984375" style="57" bestFit="1" customWidth="1"/>
    <col min="3588" max="3590" width="16.08984375" style="57" bestFit="1" customWidth="1"/>
    <col min="3591" max="3591" width="15" style="57" bestFit="1" customWidth="1"/>
    <col min="3592" max="3841" width="9" style="57"/>
    <col min="3842" max="3842" width="46.36328125" style="57" bestFit="1" customWidth="1"/>
    <col min="3843" max="3843" width="15.08984375" style="57" bestFit="1" customWidth="1"/>
    <col min="3844" max="3846" width="16.08984375" style="57" bestFit="1" customWidth="1"/>
    <col min="3847" max="3847" width="15" style="57" bestFit="1" customWidth="1"/>
    <col min="3848" max="4097" width="9" style="57"/>
    <col min="4098" max="4098" width="46.36328125" style="57" bestFit="1" customWidth="1"/>
    <col min="4099" max="4099" width="15.08984375" style="57" bestFit="1" customWidth="1"/>
    <col min="4100" max="4102" width="16.08984375" style="57" bestFit="1" customWidth="1"/>
    <col min="4103" max="4103" width="15" style="57" bestFit="1" customWidth="1"/>
    <col min="4104" max="4353" width="9" style="57"/>
    <col min="4354" max="4354" width="46.36328125" style="57" bestFit="1" customWidth="1"/>
    <col min="4355" max="4355" width="15.08984375" style="57" bestFit="1" customWidth="1"/>
    <col min="4356" max="4358" width="16.08984375" style="57" bestFit="1" customWidth="1"/>
    <col min="4359" max="4359" width="15" style="57" bestFit="1" customWidth="1"/>
    <col min="4360" max="4609" width="9" style="57"/>
    <col min="4610" max="4610" width="46.36328125" style="57" bestFit="1" customWidth="1"/>
    <col min="4611" max="4611" width="15.08984375" style="57" bestFit="1" customWidth="1"/>
    <col min="4612" max="4614" width="16.08984375" style="57" bestFit="1" customWidth="1"/>
    <col min="4615" max="4615" width="15" style="57" bestFit="1" customWidth="1"/>
    <col min="4616" max="4865" width="9" style="57"/>
    <col min="4866" max="4866" width="46.36328125" style="57" bestFit="1" customWidth="1"/>
    <col min="4867" max="4867" width="15.08984375" style="57" bestFit="1" customWidth="1"/>
    <col min="4868" max="4870" width="16.08984375" style="57" bestFit="1" customWidth="1"/>
    <col min="4871" max="4871" width="15" style="57" bestFit="1" customWidth="1"/>
    <col min="4872" max="5121" width="9" style="57"/>
    <col min="5122" max="5122" width="46.36328125" style="57" bestFit="1" customWidth="1"/>
    <col min="5123" max="5123" width="15.08984375" style="57" bestFit="1" customWidth="1"/>
    <col min="5124" max="5126" width="16.08984375" style="57" bestFit="1" customWidth="1"/>
    <col min="5127" max="5127" width="15" style="57" bestFit="1" customWidth="1"/>
    <col min="5128" max="5377" width="9" style="57"/>
    <col min="5378" max="5378" width="46.36328125" style="57" bestFit="1" customWidth="1"/>
    <col min="5379" max="5379" width="15.08984375" style="57" bestFit="1" customWidth="1"/>
    <col min="5380" max="5382" width="16.08984375" style="57" bestFit="1" customWidth="1"/>
    <col min="5383" max="5383" width="15" style="57" bestFit="1" customWidth="1"/>
    <col min="5384" max="5633" width="9" style="57"/>
    <col min="5634" max="5634" width="46.36328125" style="57" bestFit="1" customWidth="1"/>
    <col min="5635" max="5635" width="15.08984375" style="57" bestFit="1" customWidth="1"/>
    <col min="5636" max="5638" width="16.08984375" style="57" bestFit="1" customWidth="1"/>
    <col min="5639" max="5639" width="15" style="57" bestFit="1" customWidth="1"/>
    <col min="5640" max="5889" width="9" style="57"/>
    <col min="5890" max="5890" width="46.36328125" style="57" bestFit="1" customWidth="1"/>
    <col min="5891" max="5891" width="15.08984375" style="57" bestFit="1" customWidth="1"/>
    <col min="5892" max="5894" width="16.08984375" style="57" bestFit="1" customWidth="1"/>
    <col min="5895" max="5895" width="15" style="57" bestFit="1" customWidth="1"/>
    <col min="5896" max="6145" width="9" style="57"/>
    <col min="6146" max="6146" width="46.36328125" style="57" bestFit="1" customWidth="1"/>
    <col min="6147" max="6147" width="15.08984375" style="57" bestFit="1" customWidth="1"/>
    <col min="6148" max="6150" width="16.08984375" style="57" bestFit="1" customWidth="1"/>
    <col min="6151" max="6151" width="15" style="57" bestFit="1" customWidth="1"/>
    <col min="6152" max="6401" width="9" style="57"/>
    <col min="6402" max="6402" width="46.36328125" style="57" bestFit="1" customWidth="1"/>
    <col min="6403" max="6403" width="15.08984375" style="57" bestFit="1" customWidth="1"/>
    <col min="6404" max="6406" width="16.08984375" style="57" bestFit="1" customWidth="1"/>
    <col min="6407" max="6407" width="15" style="57" bestFit="1" customWidth="1"/>
    <col min="6408" max="6657" width="9" style="57"/>
    <col min="6658" max="6658" width="46.36328125" style="57" bestFit="1" customWidth="1"/>
    <col min="6659" max="6659" width="15.08984375" style="57" bestFit="1" customWidth="1"/>
    <col min="6660" max="6662" width="16.08984375" style="57" bestFit="1" customWidth="1"/>
    <col min="6663" max="6663" width="15" style="57" bestFit="1" customWidth="1"/>
    <col min="6664" max="6913" width="9" style="57"/>
    <col min="6914" max="6914" width="46.36328125" style="57" bestFit="1" customWidth="1"/>
    <col min="6915" max="6915" width="15.08984375" style="57" bestFit="1" customWidth="1"/>
    <col min="6916" max="6918" width="16.08984375" style="57" bestFit="1" customWidth="1"/>
    <col min="6919" max="6919" width="15" style="57" bestFit="1" customWidth="1"/>
    <col min="6920" max="7169" width="9" style="57"/>
    <col min="7170" max="7170" width="46.36328125" style="57" bestFit="1" customWidth="1"/>
    <col min="7171" max="7171" width="15.08984375" style="57" bestFit="1" customWidth="1"/>
    <col min="7172" max="7174" width="16.08984375" style="57" bestFit="1" customWidth="1"/>
    <col min="7175" max="7175" width="15" style="57" bestFit="1" customWidth="1"/>
    <col min="7176" max="7425" width="9" style="57"/>
    <col min="7426" max="7426" width="46.36328125" style="57" bestFit="1" customWidth="1"/>
    <col min="7427" max="7427" width="15.08984375" style="57" bestFit="1" customWidth="1"/>
    <col min="7428" max="7430" width="16.08984375" style="57" bestFit="1" customWidth="1"/>
    <col min="7431" max="7431" width="15" style="57" bestFit="1" customWidth="1"/>
    <col min="7432" max="7681" width="9" style="57"/>
    <col min="7682" max="7682" width="46.36328125" style="57" bestFit="1" customWidth="1"/>
    <col min="7683" max="7683" width="15.08984375" style="57" bestFit="1" customWidth="1"/>
    <col min="7684" max="7686" width="16.08984375" style="57" bestFit="1" customWidth="1"/>
    <col min="7687" max="7687" width="15" style="57" bestFit="1" customWidth="1"/>
    <col min="7688" max="7937" width="9" style="57"/>
    <col min="7938" max="7938" width="46.36328125" style="57" bestFit="1" customWidth="1"/>
    <col min="7939" max="7939" width="15.08984375" style="57" bestFit="1" customWidth="1"/>
    <col min="7940" max="7942" width="16.08984375" style="57" bestFit="1" customWidth="1"/>
    <col min="7943" max="7943" width="15" style="57" bestFit="1" customWidth="1"/>
    <col min="7944" max="8193" width="9" style="57"/>
    <col min="8194" max="8194" width="46.36328125" style="57" bestFit="1" customWidth="1"/>
    <col min="8195" max="8195" width="15.08984375" style="57" bestFit="1" customWidth="1"/>
    <col min="8196" max="8198" width="16.08984375" style="57" bestFit="1" customWidth="1"/>
    <col min="8199" max="8199" width="15" style="57" bestFit="1" customWidth="1"/>
    <col min="8200" max="8449" width="9" style="57"/>
    <col min="8450" max="8450" width="46.36328125" style="57" bestFit="1" customWidth="1"/>
    <col min="8451" max="8451" width="15.08984375" style="57" bestFit="1" customWidth="1"/>
    <col min="8452" max="8454" width="16.08984375" style="57" bestFit="1" customWidth="1"/>
    <col min="8455" max="8455" width="15" style="57" bestFit="1" customWidth="1"/>
    <col min="8456" max="8705" width="9" style="57"/>
    <col min="8706" max="8706" width="46.36328125" style="57" bestFit="1" customWidth="1"/>
    <col min="8707" max="8707" width="15.08984375" style="57" bestFit="1" customWidth="1"/>
    <col min="8708" max="8710" width="16.08984375" style="57" bestFit="1" customWidth="1"/>
    <col min="8711" max="8711" width="15" style="57" bestFit="1" customWidth="1"/>
    <col min="8712" max="8961" width="9" style="57"/>
    <col min="8962" max="8962" width="46.36328125" style="57" bestFit="1" customWidth="1"/>
    <col min="8963" max="8963" width="15.08984375" style="57" bestFit="1" customWidth="1"/>
    <col min="8964" max="8966" width="16.08984375" style="57" bestFit="1" customWidth="1"/>
    <col min="8967" max="8967" width="15" style="57" bestFit="1" customWidth="1"/>
    <col min="8968" max="9217" width="9" style="57"/>
    <col min="9218" max="9218" width="46.36328125" style="57" bestFit="1" customWidth="1"/>
    <col min="9219" max="9219" width="15.08984375" style="57" bestFit="1" customWidth="1"/>
    <col min="9220" max="9222" width="16.08984375" style="57" bestFit="1" customWidth="1"/>
    <col min="9223" max="9223" width="15" style="57" bestFit="1" customWidth="1"/>
    <col min="9224" max="9473" width="9" style="57"/>
    <col min="9474" max="9474" width="46.36328125" style="57" bestFit="1" customWidth="1"/>
    <col min="9475" max="9475" width="15.08984375" style="57" bestFit="1" customWidth="1"/>
    <col min="9476" max="9478" width="16.08984375" style="57" bestFit="1" customWidth="1"/>
    <col min="9479" max="9479" width="15" style="57" bestFit="1" customWidth="1"/>
    <col min="9480" max="9729" width="9" style="57"/>
    <col min="9730" max="9730" width="46.36328125" style="57" bestFit="1" customWidth="1"/>
    <col min="9731" max="9731" width="15.08984375" style="57" bestFit="1" customWidth="1"/>
    <col min="9732" max="9734" width="16.08984375" style="57" bestFit="1" customWidth="1"/>
    <col min="9735" max="9735" width="15" style="57" bestFit="1" customWidth="1"/>
    <col min="9736" max="9985" width="9" style="57"/>
    <col min="9986" max="9986" width="46.36328125" style="57" bestFit="1" customWidth="1"/>
    <col min="9987" max="9987" width="15.08984375" style="57" bestFit="1" customWidth="1"/>
    <col min="9988" max="9990" width="16.08984375" style="57" bestFit="1" customWidth="1"/>
    <col min="9991" max="9991" width="15" style="57" bestFit="1" customWidth="1"/>
    <col min="9992" max="10241" width="9" style="57"/>
    <col min="10242" max="10242" width="46.36328125" style="57" bestFit="1" customWidth="1"/>
    <col min="10243" max="10243" width="15.08984375" style="57" bestFit="1" customWidth="1"/>
    <col min="10244" max="10246" width="16.08984375" style="57" bestFit="1" customWidth="1"/>
    <col min="10247" max="10247" width="15" style="57" bestFit="1" customWidth="1"/>
    <col min="10248" max="10497" width="9" style="57"/>
    <col min="10498" max="10498" width="46.36328125" style="57" bestFit="1" customWidth="1"/>
    <col min="10499" max="10499" width="15.08984375" style="57" bestFit="1" customWidth="1"/>
    <col min="10500" max="10502" width="16.08984375" style="57" bestFit="1" customWidth="1"/>
    <col min="10503" max="10503" width="15" style="57" bestFit="1" customWidth="1"/>
    <col min="10504" max="10753" width="9" style="57"/>
    <col min="10754" max="10754" width="46.36328125" style="57" bestFit="1" customWidth="1"/>
    <col min="10755" max="10755" width="15.08984375" style="57" bestFit="1" customWidth="1"/>
    <col min="10756" max="10758" width="16.08984375" style="57" bestFit="1" customWidth="1"/>
    <col min="10759" max="10759" width="15" style="57" bestFit="1" customWidth="1"/>
    <col min="10760" max="11009" width="9" style="57"/>
    <col min="11010" max="11010" width="46.36328125" style="57" bestFit="1" customWidth="1"/>
    <col min="11011" max="11011" width="15.08984375" style="57" bestFit="1" customWidth="1"/>
    <col min="11012" max="11014" width="16.08984375" style="57" bestFit="1" customWidth="1"/>
    <col min="11015" max="11015" width="15" style="57" bestFit="1" customWidth="1"/>
    <col min="11016" max="11265" width="9" style="57"/>
    <col min="11266" max="11266" width="46.36328125" style="57" bestFit="1" customWidth="1"/>
    <col min="11267" max="11267" width="15.08984375" style="57" bestFit="1" customWidth="1"/>
    <col min="11268" max="11270" width="16.08984375" style="57" bestFit="1" customWidth="1"/>
    <col min="11271" max="11271" width="15" style="57" bestFit="1" customWidth="1"/>
    <col min="11272" max="11521" width="9" style="57"/>
    <col min="11522" max="11522" width="46.36328125" style="57" bestFit="1" customWidth="1"/>
    <col min="11523" max="11523" width="15.08984375" style="57" bestFit="1" customWidth="1"/>
    <col min="11524" max="11526" width="16.08984375" style="57" bestFit="1" customWidth="1"/>
    <col min="11527" max="11527" width="15" style="57" bestFit="1" customWidth="1"/>
    <col min="11528" max="11777" width="9" style="57"/>
    <col min="11778" max="11778" width="46.36328125" style="57" bestFit="1" customWidth="1"/>
    <col min="11779" max="11779" width="15.08984375" style="57" bestFit="1" customWidth="1"/>
    <col min="11780" max="11782" width="16.08984375" style="57" bestFit="1" customWidth="1"/>
    <col min="11783" max="11783" width="15" style="57" bestFit="1" customWidth="1"/>
    <col min="11784" max="12033" width="9" style="57"/>
    <col min="12034" max="12034" width="46.36328125" style="57" bestFit="1" customWidth="1"/>
    <col min="12035" max="12035" width="15.08984375" style="57" bestFit="1" customWidth="1"/>
    <col min="12036" max="12038" width="16.08984375" style="57" bestFit="1" customWidth="1"/>
    <col min="12039" max="12039" width="15" style="57" bestFit="1" customWidth="1"/>
    <col min="12040" max="12289" width="9" style="57"/>
    <col min="12290" max="12290" width="46.36328125" style="57" bestFit="1" customWidth="1"/>
    <col min="12291" max="12291" width="15.08984375" style="57" bestFit="1" customWidth="1"/>
    <col min="12292" max="12294" width="16.08984375" style="57" bestFit="1" customWidth="1"/>
    <col min="12295" max="12295" width="15" style="57" bestFit="1" customWidth="1"/>
    <col min="12296" max="12545" width="9" style="57"/>
    <col min="12546" max="12546" width="46.36328125" style="57" bestFit="1" customWidth="1"/>
    <col min="12547" max="12547" width="15.08984375" style="57" bestFit="1" customWidth="1"/>
    <col min="12548" max="12550" width="16.08984375" style="57" bestFit="1" customWidth="1"/>
    <col min="12551" max="12551" width="15" style="57" bestFit="1" customWidth="1"/>
    <col min="12552" max="12801" width="9" style="57"/>
    <col min="12802" max="12802" width="46.36328125" style="57" bestFit="1" customWidth="1"/>
    <col min="12803" max="12803" width="15.08984375" style="57" bestFit="1" customWidth="1"/>
    <col min="12804" max="12806" width="16.08984375" style="57" bestFit="1" customWidth="1"/>
    <col min="12807" max="12807" width="15" style="57" bestFit="1" customWidth="1"/>
    <col min="12808" max="13057" width="9" style="57"/>
    <col min="13058" max="13058" width="46.36328125" style="57" bestFit="1" customWidth="1"/>
    <col min="13059" max="13059" width="15.08984375" style="57" bestFit="1" customWidth="1"/>
    <col min="13060" max="13062" width="16.08984375" style="57" bestFit="1" customWidth="1"/>
    <col min="13063" max="13063" width="15" style="57" bestFit="1" customWidth="1"/>
    <col min="13064" max="13313" width="9" style="57"/>
    <col min="13314" max="13314" width="46.36328125" style="57" bestFit="1" customWidth="1"/>
    <col min="13315" max="13315" width="15.08984375" style="57" bestFit="1" customWidth="1"/>
    <col min="13316" max="13318" width="16.08984375" style="57" bestFit="1" customWidth="1"/>
    <col min="13319" max="13319" width="15" style="57" bestFit="1" customWidth="1"/>
    <col min="13320" max="13569" width="9" style="57"/>
    <col min="13570" max="13570" width="46.36328125" style="57" bestFit="1" customWidth="1"/>
    <col min="13571" max="13571" width="15.08984375" style="57" bestFit="1" customWidth="1"/>
    <col min="13572" max="13574" width="16.08984375" style="57" bestFit="1" customWidth="1"/>
    <col min="13575" max="13575" width="15" style="57" bestFit="1" customWidth="1"/>
    <col min="13576" max="13825" width="9" style="57"/>
    <col min="13826" max="13826" width="46.36328125" style="57" bestFit="1" customWidth="1"/>
    <col min="13827" max="13827" width="15.08984375" style="57" bestFit="1" customWidth="1"/>
    <col min="13828" max="13830" width="16.08984375" style="57" bestFit="1" customWidth="1"/>
    <col min="13831" max="13831" width="15" style="57" bestFit="1" customWidth="1"/>
    <col min="13832" max="14081" width="9" style="57"/>
    <col min="14082" max="14082" width="46.36328125" style="57" bestFit="1" customWidth="1"/>
    <col min="14083" max="14083" width="15.08984375" style="57" bestFit="1" customWidth="1"/>
    <col min="14084" max="14086" width="16.08984375" style="57" bestFit="1" customWidth="1"/>
    <col min="14087" max="14087" width="15" style="57" bestFit="1" customWidth="1"/>
    <col min="14088" max="14337" width="9" style="57"/>
    <col min="14338" max="14338" width="46.36328125" style="57" bestFit="1" customWidth="1"/>
    <col min="14339" max="14339" width="15.08984375" style="57" bestFit="1" customWidth="1"/>
    <col min="14340" max="14342" width="16.08984375" style="57" bestFit="1" customWidth="1"/>
    <col min="14343" max="14343" width="15" style="57" bestFit="1" customWidth="1"/>
    <col min="14344" max="14593" width="9" style="57"/>
    <col min="14594" max="14594" width="46.36328125" style="57" bestFit="1" customWidth="1"/>
    <col min="14595" max="14595" width="15.08984375" style="57" bestFit="1" customWidth="1"/>
    <col min="14596" max="14598" width="16.08984375" style="57" bestFit="1" customWidth="1"/>
    <col min="14599" max="14599" width="15" style="57" bestFit="1" customWidth="1"/>
    <col min="14600" max="14849" width="9" style="57"/>
    <col min="14850" max="14850" width="46.36328125" style="57" bestFit="1" customWidth="1"/>
    <col min="14851" max="14851" width="15.08984375" style="57" bestFit="1" customWidth="1"/>
    <col min="14852" max="14854" width="16.08984375" style="57" bestFit="1" customWidth="1"/>
    <col min="14855" max="14855" width="15" style="57" bestFit="1" customWidth="1"/>
    <col min="14856" max="15105" width="9" style="57"/>
    <col min="15106" max="15106" width="46.36328125" style="57" bestFit="1" customWidth="1"/>
    <col min="15107" max="15107" width="15.08984375" style="57" bestFit="1" customWidth="1"/>
    <col min="15108" max="15110" width="16.08984375" style="57" bestFit="1" customWidth="1"/>
    <col min="15111" max="15111" width="15" style="57" bestFit="1" customWidth="1"/>
    <col min="15112" max="15361" width="9" style="57"/>
    <col min="15362" max="15362" width="46.36328125" style="57" bestFit="1" customWidth="1"/>
    <col min="15363" max="15363" width="15.08984375" style="57" bestFit="1" customWidth="1"/>
    <col min="15364" max="15366" width="16.08984375" style="57" bestFit="1" customWidth="1"/>
    <col min="15367" max="15367" width="15" style="57" bestFit="1" customWidth="1"/>
    <col min="15368" max="15617" width="9" style="57"/>
    <col min="15618" max="15618" width="46.36328125" style="57" bestFit="1" customWidth="1"/>
    <col min="15619" max="15619" width="15.08984375" style="57" bestFit="1" customWidth="1"/>
    <col min="15620" max="15622" width="16.08984375" style="57" bestFit="1" customWidth="1"/>
    <col min="15623" max="15623" width="15" style="57" bestFit="1" customWidth="1"/>
    <col min="15624" max="15873" width="9" style="57"/>
    <col min="15874" max="15874" width="46.36328125" style="57" bestFit="1" customWidth="1"/>
    <col min="15875" max="15875" width="15.08984375" style="57" bestFit="1" customWidth="1"/>
    <col min="15876" max="15878" width="16.08984375" style="57" bestFit="1" customWidth="1"/>
    <col min="15879" max="15879" width="15" style="57" bestFit="1" customWidth="1"/>
    <col min="15880" max="16129" width="9" style="57"/>
    <col min="16130" max="16130" width="46.36328125" style="57" bestFit="1" customWidth="1"/>
    <col min="16131" max="16131" width="15.08984375" style="57" bestFit="1" customWidth="1"/>
    <col min="16132" max="16134" width="16.08984375" style="57" bestFit="1" customWidth="1"/>
    <col min="16135" max="16135" width="15" style="57" bestFit="1" customWidth="1"/>
    <col min="16136" max="16384" width="9" style="57"/>
  </cols>
  <sheetData>
    <row r="1" spans="1:15">
      <c r="A1" s="57" t="s">
        <v>265</v>
      </c>
      <c r="B1" s="104" t="s">
        <v>91</v>
      </c>
      <c r="C1" s="58" t="s">
        <v>266</v>
      </c>
      <c r="D1" s="58" t="s">
        <v>293</v>
      </c>
      <c r="E1" s="227" t="s">
        <v>418</v>
      </c>
      <c r="F1" s="227" t="s">
        <v>419</v>
      </c>
      <c r="G1" s="58">
        <f>标的公司IS!G1</f>
        <v>0</v>
      </c>
      <c r="I1" s="63"/>
      <c r="J1" s="63" t="str">
        <f>C1</f>
        <v>2017-12-31</v>
      </c>
      <c r="K1" s="63" t="str">
        <f>D1</f>
        <v>2018-12-31</v>
      </c>
      <c r="L1" s="63" t="str">
        <f>E1</f>
        <v>2019-12-31</v>
      </c>
      <c r="M1" s="63" t="str">
        <f>F1</f>
        <v>2020-09-30</v>
      </c>
      <c r="N1" s="63" t="s">
        <v>420</v>
      </c>
      <c r="O1" s="62" t="s">
        <v>253</v>
      </c>
    </row>
    <row r="2" spans="1:15">
      <c r="A2" s="57" t="s">
        <v>92</v>
      </c>
      <c r="B2" s="104" t="s">
        <v>93</v>
      </c>
      <c r="C2" s="58" t="s">
        <v>93</v>
      </c>
      <c r="D2" s="58" t="s">
        <v>93</v>
      </c>
      <c r="E2" s="58" t="s">
        <v>269</v>
      </c>
      <c r="F2" s="58" t="s">
        <v>94</v>
      </c>
      <c r="G2" s="58"/>
      <c r="I2" s="63" t="s">
        <v>255</v>
      </c>
      <c r="J2" s="64">
        <f>C25/C4</f>
        <v>0.13289333714652202</v>
      </c>
      <c r="K2" s="64">
        <f>D25/D4</f>
        <v>0.14052148839446807</v>
      </c>
      <c r="L2" s="64">
        <f>E25/E4</f>
        <v>0.14043717698246014</v>
      </c>
      <c r="M2" s="64"/>
      <c r="N2" s="64"/>
      <c r="O2" s="64">
        <f>AVERAGE(J2:L2,N2)</f>
        <v>0.13795066750781673</v>
      </c>
    </row>
    <row r="3" spans="1:15">
      <c r="A3" s="57" t="s">
        <v>57</v>
      </c>
      <c r="B3" s="104" t="s">
        <v>95</v>
      </c>
      <c r="C3" s="58" t="s">
        <v>95</v>
      </c>
      <c r="D3" s="58" t="s">
        <v>95</v>
      </c>
      <c r="E3" s="58" t="s">
        <v>95</v>
      </c>
      <c r="F3" s="58" t="s">
        <v>95</v>
      </c>
      <c r="G3" s="58"/>
      <c r="I3" s="55" t="s">
        <v>258</v>
      </c>
      <c r="J3" s="38"/>
      <c r="K3" s="38">
        <f>(D31+D13)/D15</f>
        <v>39.061773496273368</v>
      </c>
      <c r="L3" s="38">
        <f>(E31+E13)/E15</f>
        <v>37.754239796686996</v>
      </c>
      <c r="M3" s="38"/>
      <c r="N3" s="38"/>
      <c r="O3" s="38">
        <f>AVERAGE(J3:L3,N3)</f>
        <v>38.408006646480182</v>
      </c>
    </row>
    <row r="4" spans="1:15">
      <c r="A4" s="60" t="s">
        <v>201</v>
      </c>
      <c r="B4" s="244">
        <v>32652.258044999999</v>
      </c>
      <c r="C4" s="61">
        <v>46305.859181</v>
      </c>
      <c r="D4" s="61">
        <v>56227.679448000003</v>
      </c>
      <c r="E4" s="61">
        <v>67457.06947799999</v>
      </c>
      <c r="F4" s="61">
        <v>41587.695052999996</v>
      </c>
      <c r="G4" s="61">
        <v>80298.333299999998</v>
      </c>
      <c r="H4" s="57">
        <f>G4/E4-1</f>
        <v>0.19036201722620016</v>
      </c>
      <c r="I4" s="63"/>
      <c r="J4" s="62"/>
      <c r="K4" s="62"/>
      <c r="L4" s="62"/>
      <c r="M4" s="62"/>
      <c r="N4" s="62"/>
      <c r="O4" s="62"/>
    </row>
    <row r="5" spans="1:15" ht="14">
      <c r="A5" s="57" t="s">
        <v>202</v>
      </c>
      <c r="B5" s="70">
        <v>32652.258044999999</v>
      </c>
      <c r="C5" s="61">
        <v>46305.859181</v>
      </c>
      <c r="D5" s="61">
        <v>56227.679448000003</v>
      </c>
      <c r="E5" s="61">
        <v>67457.06947799999</v>
      </c>
      <c r="F5" s="61">
        <v>41587.695052999996</v>
      </c>
      <c r="G5" s="61"/>
      <c r="I5" s="59"/>
      <c r="O5" s="54"/>
    </row>
    <row r="6" spans="1:15">
      <c r="A6" s="57" t="s">
        <v>203</v>
      </c>
      <c r="C6" s="61"/>
      <c r="D6" s="61"/>
      <c r="E6" s="61"/>
      <c r="F6" s="61"/>
      <c r="G6" s="61"/>
      <c r="I6" s="55" t="s">
        <v>249</v>
      </c>
      <c r="J6" s="64">
        <f>C4/B4-1</f>
        <v>0.41815182022582231</v>
      </c>
      <c r="K6" s="64">
        <f>D4/C4-1</f>
        <v>0.21426705912566413</v>
      </c>
      <c r="L6" s="64">
        <f>E4/D4-1</f>
        <v>0.19971284855148719</v>
      </c>
      <c r="M6" s="64"/>
      <c r="N6" s="64"/>
      <c r="O6" s="64">
        <f>AVERAGE(J6:L6,N6)</f>
        <v>0.27737724263432456</v>
      </c>
    </row>
    <row r="7" spans="1:15">
      <c r="A7" s="60" t="s">
        <v>204</v>
      </c>
      <c r="B7" s="244">
        <v>35289.089994000002</v>
      </c>
      <c r="C7" s="61">
        <v>43865.136720000002</v>
      </c>
      <c r="D7" s="61">
        <v>52547.142922000006</v>
      </c>
      <c r="E7" s="61">
        <v>63991.980733000004</v>
      </c>
      <c r="F7" s="61">
        <v>49552.376682999995</v>
      </c>
      <c r="G7" s="61"/>
      <c r="I7" s="55" t="s">
        <v>250</v>
      </c>
      <c r="J7" s="62"/>
      <c r="K7" s="62"/>
      <c r="L7" s="62"/>
      <c r="M7" s="62"/>
      <c r="N7" s="62"/>
      <c r="O7" s="62"/>
    </row>
    <row r="8" spans="1:15">
      <c r="A8" s="57" t="s">
        <v>205</v>
      </c>
      <c r="B8" s="70">
        <v>8116.6187110000001</v>
      </c>
      <c r="C8" s="61">
        <v>10404.834296999999</v>
      </c>
      <c r="D8" s="61">
        <v>13324.987209000001</v>
      </c>
      <c r="E8" s="61">
        <v>16191.942625999998</v>
      </c>
      <c r="F8" s="61">
        <v>13941.597046000001</v>
      </c>
      <c r="G8" s="61"/>
      <c r="I8" s="56" t="s">
        <v>281</v>
      </c>
      <c r="J8" s="64">
        <f>(C25-B25)/ABS(B25)</f>
        <v>3.3372215810650956</v>
      </c>
      <c r="K8" s="64">
        <f>D25/C25-1</f>
        <v>0.28396666168885876</v>
      </c>
      <c r="L8" s="64">
        <f>E25/D25-1</f>
        <v>0.19899303348675135</v>
      </c>
      <c r="M8" s="64"/>
      <c r="N8" s="64"/>
      <c r="O8" s="64">
        <f>AVERAGE(J8:L8,N8)</f>
        <v>1.273393758746902</v>
      </c>
    </row>
    <row r="9" spans="1:15">
      <c r="A9" s="57" t="s">
        <v>206</v>
      </c>
      <c r="B9" s="70">
        <v>459.87624599999998</v>
      </c>
      <c r="C9" s="61">
        <v>509.23127300000004</v>
      </c>
      <c r="D9" s="61">
        <v>635.40281300000004</v>
      </c>
      <c r="E9" s="61">
        <v>826.86282800000004</v>
      </c>
      <c r="F9" s="61">
        <v>353.14151499999997</v>
      </c>
      <c r="G9" s="61"/>
    </row>
    <row r="10" spans="1:15">
      <c r="A10" s="57" t="s">
        <v>207</v>
      </c>
      <c r="B10" s="70">
        <v>12122.736887999999</v>
      </c>
      <c r="C10" s="61">
        <v>15368.707931000001</v>
      </c>
      <c r="D10" s="61">
        <v>17996.952378000002</v>
      </c>
      <c r="E10" s="61">
        <v>21793.551057000001</v>
      </c>
      <c r="F10" s="61">
        <v>15899.350422</v>
      </c>
      <c r="G10" s="61"/>
    </row>
    <row r="11" spans="1:15">
      <c r="A11" s="57" t="s">
        <v>208</v>
      </c>
      <c r="B11" s="70">
        <v>2330.4732100000001</v>
      </c>
      <c r="C11" s="61">
        <v>3065.8687030000001</v>
      </c>
      <c r="D11" s="61">
        <v>3922.977136</v>
      </c>
      <c r="E11" s="61">
        <v>4964.0805829999999</v>
      </c>
      <c r="F11" s="61">
        <v>3071.2362870000002</v>
      </c>
      <c r="G11" s="61"/>
    </row>
    <row r="12" spans="1:15">
      <c r="A12" s="57" t="s">
        <v>387</v>
      </c>
      <c r="B12" s="70">
        <v>12104.122234</v>
      </c>
      <c r="C12" s="61">
        <v>14150.198612999999</v>
      </c>
      <c r="D12" s="61">
        <v>15646.137106</v>
      </c>
      <c r="E12" s="61">
        <v>18674.723224000001</v>
      </c>
      <c r="F12" s="61">
        <v>15367.670222999999</v>
      </c>
      <c r="G12" s="61"/>
    </row>
    <row r="13" spans="1:15">
      <c r="A13" s="57" t="s">
        <v>209</v>
      </c>
      <c r="B13" s="70">
        <v>114.446304</v>
      </c>
      <c r="C13" s="61">
        <v>-165.35465400000001</v>
      </c>
      <c r="D13" s="61">
        <v>246.21605299999999</v>
      </c>
      <c r="E13" s="61">
        <v>130.16333400000002</v>
      </c>
      <c r="F13" s="61">
        <v>-97.616309000000001</v>
      </c>
      <c r="G13" s="61"/>
    </row>
    <row r="14" spans="1:15">
      <c r="A14" s="57" t="s">
        <v>210</v>
      </c>
      <c r="B14" s="70">
        <v>40.816400999999999</v>
      </c>
      <c r="C14" s="61">
        <v>531.65055700000005</v>
      </c>
      <c r="D14" s="61">
        <v>774.47022699999991</v>
      </c>
      <c r="E14" s="61">
        <v>1410.6570810000001</v>
      </c>
      <c r="F14" s="61">
        <v>1016.9974990000001</v>
      </c>
      <c r="G14" s="61"/>
    </row>
    <row r="15" spans="1:15">
      <c r="A15" s="225" t="s">
        <v>413</v>
      </c>
      <c r="B15" s="228">
        <v>14.562872</v>
      </c>
      <c r="C15" s="226">
        <v>0</v>
      </c>
      <c r="D15" s="226">
        <v>208.01691299999999</v>
      </c>
      <c r="E15" s="226">
        <v>253.83681800000002</v>
      </c>
      <c r="F15" s="226">
        <v>15.684166000000001</v>
      </c>
      <c r="G15" s="226"/>
    </row>
    <row r="16" spans="1:15">
      <c r="A16" s="60" t="s">
        <v>211</v>
      </c>
      <c r="B16" s="244"/>
      <c r="C16" s="61"/>
      <c r="D16" s="61"/>
      <c r="E16" s="61"/>
      <c r="F16" s="61"/>
      <c r="G16" s="61"/>
    </row>
    <row r="17" spans="1:7">
      <c r="A17" s="57" t="s">
        <v>212</v>
      </c>
      <c r="C17" s="61"/>
      <c r="D17" s="61"/>
      <c r="E17" s="61"/>
      <c r="F17" s="61"/>
      <c r="G17" s="61"/>
    </row>
    <row r="18" spans="1:7">
      <c r="A18" s="57" t="s">
        <v>213</v>
      </c>
      <c r="B18" s="70">
        <v>7.498081</v>
      </c>
      <c r="C18" s="61">
        <v>94.441195999999991</v>
      </c>
      <c r="D18" s="61">
        <v>66.990144000000001</v>
      </c>
      <c r="E18" s="61">
        <v>494.80423899999994</v>
      </c>
      <c r="F18" s="61">
        <v>959.71614899999997</v>
      </c>
      <c r="G18" s="61"/>
    </row>
    <row r="19" spans="1:7">
      <c r="A19" s="57" t="s">
        <v>214</v>
      </c>
      <c r="C19" s="61"/>
      <c r="D19" s="61"/>
      <c r="E19" s="61"/>
      <c r="F19" s="61"/>
      <c r="G19" s="61"/>
    </row>
    <row r="20" spans="1:7">
      <c r="A20" s="57" t="s">
        <v>215</v>
      </c>
      <c r="C20" s="61"/>
      <c r="D20" s="61"/>
      <c r="E20" s="61"/>
      <c r="F20" s="61"/>
      <c r="G20" s="61"/>
    </row>
    <row r="21" spans="1:7">
      <c r="A21" s="57" t="s">
        <v>216</v>
      </c>
      <c r="B21" s="70">
        <v>-3.5958489999999999</v>
      </c>
      <c r="C21" s="61">
        <v>-42.219631</v>
      </c>
      <c r="D21" s="61">
        <v>-10.249176</v>
      </c>
      <c r="E21" s="61">
        <v>31.351877000000002</v>
      </c>
      <c r="F21" s="61">
        <v>8.5701529999999995</v>
      </c>
      <c r="G21" s="61"/>
    </row>
    <row r="22" spans="1:7">
      <c r="A22" s="57" t="s">
        <v>217</v>
      </c>
      <c r="B22" s="70">
        <v>0</v>
      </c>
      <c r="C22" s="61">
        <v>3660.7961299999997</v>
      </c>
      <c r="D22" s="61">
        <v>4163.9197109999996</v>
      </c>
      <c r="E22" s="61">
        <v>5482.2355440000001</v>
      </c>
      <c r="F22" s="61">
        <v>2128.7278809999998</v>
      </c>
      <c r="G22" s="61"/>
    </row>
    <row r="23" spans="1:7">
      <c r="A23" s="57" t="s">
        <v>218</v>
      </c>
      <c r="C23" s="61"/>
      <c r="D23" s="61"/>
      <c r="E23" s="61"/>
      <c r="F23" s="61"/>
      <c r="G23" s="61"/>
    </row>
    <row r="24" spans="1:7">
      <c r="A24" s="57" t="s">
        <v>219</v>
      </c>
      <c r="C24" s="61"/>
      <c r="D24" s="61"/>
      <c r="E24" s="61"/>
      <c r="F24" s="61"/>
      <c r="G24" s="61"/>
    </row>
    <row r="25" spans="1:7">
      <c r="A25" s="60" t="s">
        <v>220</v>
      </c>
      <c r="B25" s="101">
        <f>B5-SUM(B8:B14)+SUM(B17:B22)</f>
        <v>-2632.9297169999959</v>
      </c>
      <c r="C25" s="101">
        <f>C5-SUM(C8:C14)+SUM(C17:C22)</f>
        <v>6153.7401560000044</v>
      </c>
      <c r="D25" s="101">
        <f>D5-SUM(D8:D14)+SUM(D17:D22)</f>
        <v>7901.1972050000031</v>
      </c>
      <c r="E25" s="101">
        <f>E5-SUM(E8:E14)+SUM(E17:E22)</f>
        <v>9473.4804049999948</v>
      </c>
      <c r="F25" s="101">
        <f>F5-SUM(F8:F14)+SUM(F17:F22)</f>
        <v>-4867.6674470000071</v>
      </c>
      <c r="G25" s="61"/>
    </row>
    <row r="26" spans="1:7">
      <c r="A26" s="57" t="s">
        <v>221</v>
      </c>
      <c r="B26" s="70">
        <v>2793.4480519999997</v>
      </c>
      <c r="C26" s="239">
        <v>4.8751870000000004</v>
      </c>
      <c r="D26" s="239">
        <v>25.621396000000001</v>
      </c>
      <c r="E26" s="239">
        <v>25.501730999999999</v>
      </c>
      <c r="F26" s="239">
        <v>10.774934</v>
      </c>
      <c r="G26" s="61"/>
    </row>
    <row r="27" spans="1:7">
      <c r="A27" s="57" t="s">
        <v>222</v>
      </c>
      <c r="B27" s="70">
        <v>4.3953800000000003</v>
      </c>
      <c r="C27" s="239">
        <v>21.552717999999999</v>
      </c>
      <c r="D27" s="239">
        <v>47.525115</v>
      </c>
      <c r="E27" s="239">
        <v>45.729374</v>
      </c>
      <c r="F27" s="239">
        <v>76.344988999999998</v>
      </c>
      <c r="G27" s="61"/>
    </row>
    <row r="28" spans="1:7">
      <c r="A28" s="57" t="s">
        <v>223</v>
      </c>
      <c r="C28" s="61"/>
      <c r="D28" s="61"/>
      <c r="E28" s="61"/>
      <c r="F28" s="61"/>
      <c r="G28" s="61"/>
    </row>
    <row r="29" spans="1:7">
      <c r="A29" s="57" t="s">
        <v>224</v>
      </c>
      <c r="C29" s="61"/>
      <c r="D29" s="61"/>
      <c r="E29" s="61"/>
      <c r="F29" s="61"/>
      <c r="G29" s="61"/>
    </row>
    <row r="30" spans="1:7">
      <c r="A30" s="57" t="s">
        <v>225</v>
      </c>
      <c r="C30" s="61"/>
      <c r="D30" s="61"/>
      <c r="E30" s="61"/>
      <c r="F30" s="61"/>
      <c r="G30" s="61"/>
    </row>
    <row r="31" spans="1:7">
      <c r="A31" s="60" t="s">
        <v>226</v>
      </c>
      <c r="B31" s="101">
        <f>B25+B26-B27</f>
        <v>156.12295500000386</v>
      </c>
      <c r="C31" s="101">
        <f>C25+C26-C27</f>
        <v>6137.0626250000041</v>
      </c>
      <c r="D31" s="101">
        <f>D25+D26-D27</f>
        <v>7879.2934860000023</v>
      </c>
      <c r="E31" s="101">
        <f>E25+E26-E27</f>
        <v>9453.2527619999946</v>
      </c>
      <c r="F31" s="101">
        <f>F25+F26-F27</f>
        <v>-4933.2375020000072</v>
      </c>
      <c r="G31" s="61"/>
    </row>
    <row r="32" spans="1:7">
      <c r="A32" s="57" t="s">
        <v>227</v>
      </c>
      <c r="B32" s="70">
        <v>37.624876</v>
      </c>
      <c r="C32" s="239">
        <v>131.83858500000002</v>
      </c>
      <c r="D32" s="239">
        <v>988.11929199999997</v>
      </c>
      <c r="E32" s="239">
        <v>348.64478600000001</v>
      </c>
      <c r="F32" s="239">
        <v>-235.04443700000002</v>
      </c>
      <c r="G32" s="61"/>
    </row>
    <row r="33" spans="1:7">
      <c r="A33" s="57" t="s">
        <v>228</v>
      </c>
      <c r="C33" s="61"/>
      <c r="D33" s="61"/>
      <c r="E33" s="61"/>
      <c r="F33" s="61"/>
      <c r="G33" s="61"/>
    </row>
    <row r="34" spans="1:7">
      <c r="A34" s="57" t="s">
        <v>229</v>
      </c>
      <c r="C34" s="61"/>
      <c r="D34" s="61"/>
      <c r="E34" s="61"/>
      <c r="F34" s="61"/>
      <c r="G34" s="61"/>
    </row>
    <row r="35" spans="1:7">
      <c r="A35" s="57" t="s">
        <v>230</v>
      </c>
      <c r="C35" s="61"/>
      <c r="D35" s="61"/>
      <c r="E35" s="61"/>
      <c r="F35" s="61"/>
      <c r="G35" s="61"/>
    </row>
    <row r="36" spans="1:7">
      <c r="A36" s="60" t="s">
        <v>231</v>
      </c>
      <c r="B36" s="101">
        <f>B31-B32</f>
        <v>118.49807900000386</v>
      </c>
      <c r="C36" s="101">
        <f>C31-C32</f>
        <v>6005.2240400000037</v>
      </c>
      <c r="D36" s="101">
        <f>D31-D32</f>
        <v>6891.174194000002</v>
      </c>
      <c r="E36" s="101">
        <f>E31-E32</f>
        <v>9104.6079759999939</v>
      </c>
      <c r="F36" s="101">
        <f>F31-F32</f>
        <v>-4698.1930650000068</v>
      </c>
      <c r="G36" s="61"/>
    </row>
    <row r="37" spans="1:7">
      <c r="A37" s="57" t="s">
        <v>232</v>
      </c>
      <c r="C37" s="61"/>
      <c r="D37" s="61"/>
      <c r="E37" s="61"/>
      <c r="F37" s="61"/>
      <c r="G37" s="61"/>
    </row>
    <row r="38" spans="1:7">
      <c r="A38" s="57" t="s">
        <v>233</v>
      </c>
      <c r="C38" s="61"/>
      <c r="D38" s="61"/>
      <c r="E38" s="61"/>
      <c r="F38" s="61"/>
      <c r="G38" s="61"/>
    </row>
    <row r="39" spans="1:7">
      <c r="A39" s="57" t="s">
        <v>234</v>
      </c>
      <c r="C39" s="61"/>
      <c r="D39" s="61"/>
      <c r="E39" s="61"/>
      <c r="F39" s="61"/>
      <c r="G39" s="61"/>
    </row>
    <row r="40" spans="1:7">
      <c r="A40" s="57" t="s">
        <v>235</v>
      </c>
      <c r="C40" s="61"/>
      <c r="D40" s="61"/>
      <c r="E40" s="61"/>
      <c r="F40" s="61"/>
      <c r="G40" s="61"/>
    </row>
    <row r="41" spans="1:7">
      <c r="A41" s="57" t="s">
        <v>236</v>
      </c>
      <c r="C41" s="61"/>
      <c r="D41" s="61"/>
      <c r="E41" s="61"/>
      <c r="F41" s="61"/>
      <c r="G41" s="61"/>
    </row>
    <row r="42" spans="1:7">
      <c r="A42" s="60" t="s">
        <v>237</v>
      </c>
      <c r="B42" s="244"/>
      <c r="C42" s="61"/>
      <c r="D42" s="61"/>
      <c r="E42" s="61"/>
      <c r="F42" s="61"/>
      <c r="G42" s="61"/>
    </row>
    <row r="43" spans="1:7">
      <c r="A43" s="57" t="s">
        <v>238</v>
      </c>
      <c r="C43" s="61"/>
      <c r="D43" s="61"/>
      <c r="E43" s="61"/>
      <c r="F43" s="61"/>
      <c r="G43" s="61"/>
    </row>
    <row r="44" spans="1:7">
      <c r="A44" s="57" t="s">
        <v>239</v>
      </c>
      <c r="C44" s="61"/>
      <c r="D44" s="61"/>
      <c r="E44" s="61"/>
      <c r="F44" s="61"/>
      <c r="G44" s="61"/>
    </row>
    <row r="45" spans="1:7">
      <c r="A45" s="60" t="s">
        <v>240</v>
      </c>
      <c r="B45" s="244"/>
      <c r="C45" s="58"/>
      <c r="D45" s="58"/>
      <c r="E45" s="58"/>
      <c r="F45" s="58"/>
      <c r="G45" s="58"/>
    </row>
    <row r="46" spans="1:7">
      <c r="A46" s="57" t="s">
        <v>241</v>
      </c>
      <c r="C46" s="69"/>
      <c r="D46" s="69"/>
      <c r="E46" s="69"/>
      <c r="F46" s="69"/>
      <c r="G46" s="69"/>
    </row>
    <row r="47" spans="1:7">
      <c r="A47" s="57" t="s">
        <v>242</v>
      </c>
      <c r="C47" s="69"/>
      <c r="D47" s="69"/>
      <c r="E47" s="69"/>
      <c r="F47" s="69"/>
      <c r="G47" s="69"/>
    </row>
    <row r="48" spans="1:7">
      <c r="A48" s="57" t="s">
        <v>199</v>
      </c>
    </row>
    <row r="50" spans="1:7">
      <c r="A50" s="59"/>
      <c r="B50" s="245"/>
      <c r="C50" s="70"/>
      <c r="D50" s="70"/>
      <c r="E50" s="70"/>
      <c r="F50" s="70"/>
      <c r="G50" s="70"/>
    </row>
    <row r="51" spans="1:7">
      <c r="A51" s="59"/>
      <c r="B51" s="245"/>
      <c r="C51" s="70"/>
      <c r="D51" s="70"/>
      <c r="E51" s="70"/>
      <c r="F51" s="70"/>
      <c r="G51" s="70"/>
    </row>
    <row r="52" spans="1:7">
      <c r="A52" s="59"/>
      <c r="B52" s="245"/>
      <c r="C52" s="70"/>
      <c r="D52" s="70"/>
      <c r="E52" s="70"/>
      <c r="F52" s="70"/>
      <c r="G52" s="70"/>
    </row>
  </sheetData>
  <phoneticPr fontId="2" type="noConversion"/>
  <conditionalFormatting sqref="C26:F26">
    <cfRule type="cellIs" dxfId="155" priority="3" stopIfTrue="1" operator="lessThan">
      <formula>0</formula>
    </cfRule>
  </conditionalFormatting>
  <conditionalFormatting sqref="C27:F27">
    <cfRule type="cellIs" dxfId="154" priority="2" stopIfTrue="1" operator="lessThan">
      <formula>0</formula>
    </cfRule>
  </conditionalFormatting>
  <conditionalFormatting sqref="C32:F32">
    <cfRule type="cellIs" dxfId="153" priority="1" stopIfTrue="1" operator="lessThan">
      <formula>0</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13"/>
  <sheetViews>
    <sheetView workbookViewId="0">
      <selection sqref="A1:XFD1048576"/>
    </sheetView>
  </sheetViews>
  <sheetFormatPr defaultRowHeight="13"/>
  <cols>
    <col min="1" max="1" width="22.26953125" style="57" customWidth="1"/>
    <col min="2" max="4" width="14.08984375" style="57" bestFit="1" customWidth="1"/>
    <col min="5" max="5" width="15" style="57" bestFit="1" customWidth="1"/>
    <col min="6" max="6" width="14.08984375" style="57" bestFit="1" customWidth="1"/>
    <col min="7" max="7" width="15" style="57" bestFit="1" customWidth="1"/>
    <col min="8" max="8" width="15" style="57" customWidth="1"/>
    <col min="9" max="9" width="12.36328125" style="57" customWidth="1"/>
    <col min="10" max="10" width="16.453125" style="57" customWidth="1"/>
    <col min="11" max="14" width="9" style="57"/>
    <col min="15" max="15" width="10.26953125" style="57" bestFit="1" customWidth="1"/>
    <col min="16" max="258" width="9" style="57"/>
    <col min="259" max="259" width="34.08984375" style="57" bestFit="1" customWidth="1"/>
    <col min="260" max="264" width="16.08984375" style="57" bestFit="1" customWidth="1"/>
    <col min="265" max="514" width="9" style="57"/>
    <col min="515" max="515" width="34.08984375" style="57" bestFit="1" customWidth="1"/>
    <col min="516" max="520" width="16.08984375" style="57" bestFit="1" customWidth="1"/>
    <col min="521" max="770" width="9" style="57"/>
    <col min="771" max="771" width="34.08984375" style="57" bestFit="1" customWidth="1"/>
    <col min="772" max="776" width="16.08984375" style="57" bestFit="1" customWidth="1"/>
    <col min="777" max="1026" width="9" style="57"/>
    <col min="1027" max="1027" width="34.08984375" style="57" bestFit="1" customWidth="1"/>
    <col min="1028" max="1032" width="16.08984375" style="57" bestFit="1" customWidth="1"/>
    <col min="1033" max="1282" width="9" style="57"/>
    <col min="1283" max="1283" width="34.08984375" style="57" bestFit="1" customWidth="1"/>
    <col min="1284" max="1288" width="16.08984375" style="57" bestFit="1" customWidth="1"/>
    <col min="1289" max="1538" width="9" style="57"/>
    <col min="1539" max="1539" width="34.08984375" style="57" bestFit="1" customWidth="1"/>
    <col min="1540" max="1544" width="16.08984375" style="57" bestFit="1" customWidth="1"/>
    <col min="1545" max="1794" width="9" style="57"/>
    <col min="1795" max="1795" width="34.08984375" style="57" bestFit="1" customWidth="1"/>
    <col min="1796" max="1800" width="16.08984375" style="57" bestFit="1" customWidth="1"/>
    <col min="1801" max="2050" width="9" style="57"/>
    <col min="2051" max="2051" width="34.08984375" style="57" bestFit="1" customWidth="1"/>
    <col min="2052" max="2056" width="16.08984375" style="57" bestFit="1" customWidth="1"/>
    <col min="2057" max="2306" width="9" style="57"/>
    <col min="2307" max="2307" width="34.08984375" style="57" bestFit="1" customWidth="1"/>
    <col min="2308" max="2312" width="16.08984375" style="57" bestFit="1" customWidth="1"/>
    <col min="2313" max="2562" width="9" style="57"/>
    <col min="2563" max="2563" width="34.08984375" style="57" bestFit="1" customWidth="1"/>
    <col min="2564" max="2568" width="16.08984375" style="57" bestFit="1" customWidth="1"/>
    <col min="2569" max="2818" width="9" style="57"/>
    <col min="2819" max="2819" width="34.08984375" style="57" bestFit="1" customWidth="1"/>
    <col min="2820" max="2824" width="16.08984375" style="57" bestFit="1" customWidth="1"/>
    <col min="2825" max="3074" width="9" style="57"/>
    <col min="3075" max="3075" width="34.08984375" style="57" bestFit="1" customWidth="1"/>
    <col min="3076" max="3080" width="16.08984375" style="57" bestFit="1" customWidth="1"/>
    <col min="3081" max="3330" width="9" style="57"/>
    <col min="3331" max="3331" width="34.08984375" style="57" bestFit="1" customWidth="1"/>
    <col min="3332" max="3336" width="16.08984375" style="57" bestFit="1" customWidth="1"/>
    <col min="3337" max="3586" width="9" style="57"/>
    <col min="3587" max="3587" width="34.08984375" style="57" bestFit="1" customWidth="1"/>
    <col min="3588" max="3592" width="16.08984375" style="57" bestFit="1" customWidth="1"/>
    <col min="3593" max="3842" width="9" style="57"/>
    <col min="3843" max="3843" width="34.08984375" style="57" bestFit="1" customWidth="1"/>
    <col min="3844" max="3848" width="16.08984375" style="57" bestFit="1" customWidth="1"/>
    <col min="3849" max="4098" width="9" style="57"/>
    <col min="4099" max="4099" width="34.08984375" style="57" bestFit="1" customWidth="1"/>
    <col min="4100" max="4104" width="16.08984375" style="57" bestFit="1" customWidth="1"/>
    <col min="4105" max="4354" width="9" style="57"/>
    <col min="4355" max="4355" width="34.08984375" style="57" bestFit="1" customWidth="1"/>
    <col min="4356" max="4360" width="16.08984375" style="57" bestFit="1" customWidth="1"/>
    <col min="4361" max="4610" width="9" style="57"/>
    <col min="4611" max="4611" width="34.08984375" style="57" bestFit="1" customWidth="1"/>
    <col min="4612" max="4616" width="16.08984375" style="57" bestFit="1" customWidth="1"/>
    <col min="4617" max="4866" width="9" style="57"/>
    <col min="4867" max="4867" width="34.08984375" style="57" bestFit="1" customWidth="1"/>
    <col min="4868" max="4872" width="16.08984375" style="57" bestFit="1" customWidth="1"/>
    <col min="4873" max="5122" width="9" style="57"/>
    <col min="5123" max="5123" width="34.08984375" style="57" bestFit="1" customWidth="1"/>
    <col min="5124" max="5128" width="16.08984375" style="57" bestFit="1" customWidth="1"/>
    <col min="5129" max="5378" width="9" style="57"/>
    <col min="5379" max="5379" width="34.08984375" style="57" bestFit="1" customWidth="1"/>
    <col min="5380" max="5384" width="16.08984375" style="57" bestFit="1" customWidth="1"/>
    <col min="5385" max="5634" width="9" style="57"/>
    <col min="5635" max="5635" width="34.08984375" style="57" bestFit="1" customWidth="1"/>
    <col min="5636" max="5640" width="16.08984375" style="57" bestFit="1" customWidth="1"/>
    <col min="5641" max="5890" width="9" style="57"/>
    <col min="5891" max="5891" width="34.08984375" style="57" bestFit="1" customWidth="1"/>
    <col min="5892" max="5896" width="16.08984375" style="57" bestFit="1" customWidth="1"/>
    <col min="5897" max="6146" width="9" style="57"/>
    <col min="6147" max="6147" width="34.08984375" style="57" bestFit="1" customWidth="1"/>
    <col min="6148" max="6152" width="16.08984375" style="57" bestFit="1" customWidth="1"/>
    <col min="6153" max="6402" width="9" style="57"/>
    <col min="6403" max="6403" width="34.08984375" style="57" bestFit="1" customWidth="1"/>
    <col min="6404" max="6408" width="16.08984375" style="57" bestFit="1" customWidth="1"/>
    <col min="6409" max="6658" width="9" style="57"/>
    <col min="6659" max="6659" width="34.08984375" style="57" bestFit="1" customWidth="1"/>
    <col min="6660" max="6664" width="16.08984375" style="57" bestFit="1" customWidth="1"/>
    <col min="6665" max="6914" width="9" style="57"/>
    <col min="6915" max="6915" width="34.08984375" style="57" bestFit="1" customWidth="1"/>
    <col min="6916" max="6920" width="16.08984375" style="57" bestFit="1" customWidth="1"/>
    <col min="6921" max="7170" width="9" style="57"/>
    <col min="7171" max="7171" width="34.08984375" style="57" bestFit="1" customWidth="1"/>
    <col min="7172" max="7176" width="16.08984375" style="57" bestFit="1" customWidth="1"/>
    <col min="7177" max="7426" width="9" style="57"/>
    <col min="7427" max="7427" width="34.08984375" style="57" bestFit="1" customWidth="1"/>
    <col min="7428" max="7432" width="16.08984375" style="57" bestFit="1" customWidth="1"/>
    <col min="7433" max="7682" width="9" style="57"/>
    <col min="7683" max="7683" width="34.08984375" style="57" bestFit="1" customWidth="1"/>
    <col min="7684" max="7688" width="16.08984375" style="57" bestFit="1" customWidth="1"/>
    <col min="7689" max="7938" width="9" style="57"/>
    <col min="7939" max="7939" width="34.08984375" style="57" bestFit="1" customWidth="1"/>
    <col min="7940" max="7944" width="16.08984375" style="57" bestFit="1" customWidth="1"/>
    <col min="7945" max="8194" width="9" style="57"/>
    <col min="8195" max="8195" width="34.08984375" style="57" bestFit="1" customWidth="1"/>
    <col min="8196" max="8200" width="16.08984375" style="57" bestFit="1" customWidth="1"/>
    <col min="8201" max="8450" width="9" style="57"/>
    <col min="8451" max="8451" width="34.08984375" style="57" bestFit="1" customWidth="1"/>
    <col min="8452" max="8456" width="16.08984375" style="57" bestFit="1" customWidth="1"/>
    <col min="8457" max="8706" width="9" style="57"/>
    <col min="8707" max="8707" width="34.08984375" style="57" bestFit="1" customWidth="1"/>
    <col min="8708" max="8712" width="16.08984375" style="57" bestFit="1" customWidth="1"/>
    <col min="8713" max="8962" width="9" style="57"/>
    <col min="8963" max="8963" width="34.08984375" style="57" bestFit="1" customWidth="1"/>
    <col min="8964" max="8968" width="16.08984375" style="57" bestFit="1" customWidth="1"/>
    <col min="8969" max="9218" width="9" style="57"/>
    <col min="9219" max="9219" width="34.08984375" style="57" bestFit="1" customWidth="1"/>
    <col min="9220" max="9224" width="16.08984375" style="57" bestFit="1" customWidth="1"/>
    <col min="9225" max="9474" width="9" style="57"/>
    <col min="9475" max="9475" width="34.08984375" style="57" bestFit="1" customWidth="1"/>
    <col min="9476" max="9480" width="16.08984375" style="57" bestFit="1" customWidth="1"/>
    <col min="9481" max="9730" width="9" style="57"/>
    <col min="9731" max="9731" width="34.08984375" style="57" bestFit="1" customWidth="1"/>
    <col min="9732" max="9736" width="16.08984375" style="57" bestFit="1" customWidth="1"/>
    <col min="9737" max="9986" width="9" style="57"/>
    <col min="9987" max="9987" width="34.08984375" style="57" bestFit="1" customWidth="1"/>
    <col min="9988" max="9992" width="16.08984375" style="57" bestFit="1" customWidth="1"/>
    <col min="9993" max="10242" width="9" style="57"/>
    <col min="10243" max="10243" width="34.08984375" style="57" bestFit="1" customWidth="1"/>
    <col min="10244" max="10248" width="16.08984375" style="57" bestFit="1" customWidth="1"/>
    <col min="10249" max="10498" width="9" style="57"/>
    <col min="10499" max="10499" width="34.08984375" style="57" bestFit="1" customWidth="1"/>
    <col min="10500" max="10504" width="16.08984375" style="57" bestFit="1" customWidth="1"/>
    <col min="10505" max="10754" width="9" style="57"/>
    <col min="10755" max="10755" width="34.08984375" style="57" bestFit="1" customWidth="1"/>
    <col min="10756" max="10760" width="16.08984375" style="57" bestFit="1" customWidth="1"/>
    <col min="10761" max="11010" width="9" style="57"/>
    <col min="11011" max="11011" width="34.08984375" style="57" bestFit="1" customWidth="1"/>
    <col min="11012" max="11016" width="16.08984375" style="57" bestFit="1" customWidth="1"/>
    <col min="11017" max="11266" width="9" style="57"/>
    <col min="11267" max="11267" width="34.08984375" style="57" bestFit="1" customWidth="1"/>
    <col min="11268" max="11272" width="16.08984375" style="57" bestFit="1" customWidth="1"/>
    <col min="11273" max="11522" width="9" style="57"/>
    <col min="11523" max="11523" width="34.08984375" style="57" bestFit="1" customWidth="1"/>
    <col min="11524" max="11528" width="16.08984375" style="57" bestFit="1" customWidth="1"/>
    <col min="11529" max="11778" width="9" style="57"/>
    <col min="11779" max="11779" width="34.08984375" style="57" bestFit="1" customWidth="1"/>
    <col min="11780" max="11784" width="16.08984375" style="57" bestFit="1" customWidth="1"/>
    <col min="11785" max="12034" width="9" style="57"/>
    <col min="12035" max="12035" width="34.08984375" style="57" bestFit="1" customWidth="1"/>
    <col min="12036" max="12040" width="16.08984375" style="57" bestFit="1" customWidth="1"/>
    <col min="12041" max="12290" width="9" style="57"/>
    <col min="12291" max="12291" width="34.08984375" style="57" bestFit="1" customWidth="1"/>
    <col min="12292" max="12296" width="16.08984375" style="57" bestFit="1" customWidth="1"/>
    <col min="12297" max="12546" width="9" style="57"/>
    <col min="12547" max="12547" width="34.08984375" style="57" bestFit="1" customWidth="1"/>
    <col min="12548" max="12552" width="16.08984375" style="57" bestFit="1" customWidth="1"/>
    <col min="12553" max="12802" width="9" style="57"/>
    <col min="12803" max="12803" width="34.08984375" style="57" bestFit="1" customWidth="1"/>
    <col min="12804" max="12808" width="16.08984375" style="57" bestFit="1" customWidth="1"/>
    <col min="12809" max="13058" width="9" style="57"/>
    <col min="13059" max="13059" width="34.08984375" style="57" bestFit="1" customWidth="1"/>
    <col min="13060" max="13064" width="16.08984375" style="57" bestFit="1" customWidth="1"/>
    <col min="13065" max="13314" width="9" style="57"/>
    <col min="13315" max="13315" width="34.08984375" style="57" bestFit="1" customWidth="1"/>
    <col min="13316" max="13320" width="16.08984375" style="57" bestFit="1" customWidth="1"/>
    <col min="13321" max="13570" width="9" style="57"/>
    <col min="13571" max="13571" width="34.08984375" style="57" bestFit="1" customWidth="1"/>
    <col min="13572" max="13576" width="16.08984375" style="57" bestFit="1" customWidth="1"/>
    <col min="13577" max="13826" width="9" style="57"/>
    <col min="13827" max="13827" width="34.08984375" style="57" bestFit="1" customWidth="1"/>
    <col min="13828" max="13832" width="16.08984375" style="57" bestFit="1" customWidth="1"/>
    <col min="13833" max="14082" width="9" style="57"/>
    <col min="14083" max="14083" width="34.08984375" style="57" bestFit="1" customWidth="1"/>
    <col min="14084" max="14088" width="16.08984375" style="57" bestFit="1" customWidth="1"/>
    <col min="14089" max="14338" width="9" style="57"/>
    <col min="14339" max="14339" width="34.08984375" style="57" bestFit="1" customWidth="1"/>
    <col min="14340" max="14344" width="16.08984375" style="57" bestFit="1" customWidth="1"/>
    <col min="14345" max="14594" width="9" style="57"/>
    <col min="14595" max="14595" width="34.08984375" style="57" bestFit="1" customWidth="1"/>
    <col min="14596" max="14600" width="16.08984375" style="57" bestFit="1" customWidth="1"/>
    <col min="14601" max="14850" width="9" style="57"/>
    <col min="14851" max="14851" width="34.08984375" style="57" bestFit="1" customWidth="1"/>
    <col min="14852" max="14856" width="16.08984375" style="57" bestFit="1" customWidth="1"/>
    <col min="14857" max="15106" width="9" style="57"/>
    <col min="15107" max="15107" width="34.08984375" style="57" bestFit="1" customWidth="1"/>
    <col min="15108" max="15112" width="16.08984375" style="57" bestFit="1" customWidth="1"/>
    <col min="15113" max="15362" width="9" style="57"/>
    <col min="15363" max="15363" width="34.08984375" style="57" bestFit="1" customWidth="1"/>
    <col min="15364" max="15368" width="16.08984375" style="57" bestFit="1" customWidth="1"/>
    <col min="15369" max="15618" width="9" style="57"/>
    <col min="15619" max="15619" width="34.08984375" style="57" bestFit="1" customWidth="1"/>
    <col min="15620" max="15624" width="16.08984375" style="57" bestFit="1" customWidth="1"/>
    <col min="15625" max="15874" width="9" style="57"/>
    <col min="15875" max="15875" width="34.08984375" style="57" bestFit="1" customWidth="1"/>
    <col min="15876" max="15880" width="16.08984375" style="57" bestFit="1" customWidth="1"/>
    <col min="15881" max="16130" width="9" style="57"/>
    <col min="16131" max="16131" width="34.08984375" style="57" bestFit="1" customWidth="1"/>
    <col min="16132" max="16136" width="16.08984375" style="57" bestFit="1" customWidth="1"/>
    <col min="16137" max="16384" width="9" style="57"/>
  </cols>
  <sheetData>
    <row r="1" spans="1:16">
      <c r="A1" s="57" t="s">
        <v>268</v>
      </c>
      <c r="B1" s="242" t="str">
        <f>山石网科BS!B1</f>
        <v>2016-12-31</v>
      </c>
      <c r="C1" s="242" t="e">
        <f>山石网科BS!C1</f>
        <v>#REF!</v>
      </c>
      <c r="D1" s="242" t="e">
        <f>山石网科BS!D1</f>
        <v>#REF!</v>
      </c>
      <c r="E1" s="242" t="e">
        <f>山石网科BS!E1</f>
        <v>#REF!</v>
      </c>
      <c r="F1" s="242" t="e">
        <f>山石网科BS!F1</f>
        <v>#REF!</v>
      </c>
      <c r="G1" s="227" t="s">
        <v>741</v>
      </c>
      <c r="H1" s="227" t="s">
        <v>742</v>
      </c>
      <c r="J1" s="62"/>
      <c r="K1" s="63" t="e">
        <f>C1</f>
        <v>#REF!</v>
      </c>
      <c r="L1" s="63" t="e">
        <f>D1</f>
        <v>#REF!</v>
      </c>
      <c r="M1" s="63" t="e">
        <f>E1</f>
        <v>#REF!</v>
      </c>
      <c r="N1" s="63" t="e">
        <f>F1</f>
        <v>#REF!</v>
      </c>
      <c r="O1" s="63" t="s">
        <v>420</v>
      </c>
      <c r="P1" s="62" t="s">
        <v>253</v>
      </c>
    </row>
    <row r="2" spans="1:16">
      <c r="A2" s="57" t="s">
        <v>92</v>
      </c>
      <c r="B2" s="227" t="s">
        <v>93</v>
      </c>
      <c r="C2" s="227" t="s">
        <v>93</v>
      </c>
      <c r="D2" s="227" t="s">
        <v>93</v>
      </c>
      <c r="E2" s="227" t="s">
        <v>93</v>
      </c>
      <c r="F2" s="227" t="s">
        <v>94</v>
      </c>
      <c r="G2" s="58"/>
      <c r="H2" s="58"/>
      <c r="J2" s="62" t="s">
        <v>252</v>
      </c>
      <c r="K2" s="64">
        <f>绿盟科技IS!C36/(B106+C106)*2</f>
        <v>6.3803665377285726E-2</v>
      </c>
      <c r="L2" s="64">
        <f>绿盟科技IS!D36/(C106+D106)*2</f>
        <v>5.6065076957281447E-2</v>
      </c>
      <c r="M2" s="64">
        <f>绿盟科技IS!E36/(D106+E106)*2</f>
        <v>6.9728314477156342E-2</v>
      </c>
      <c r="N2" s="64"/>
      <c r="O2" s="64"/>
      <c r="P2" s="64">
        <f>AVERAGE(K2:M2,O2)</f>
        <v>6.3199018937241169E-2</v>
      </c>
    </row>
    <row r="3" spans="1:16">
      <c r="A3" s="57" t="s">
        <v>57</v>
      </c>
      <c r="B3" s="227" t="s">
        <v>95</v>
      </c>
      <c r="C3" s="227" t="s">
        <v>95</v>
      </c>
      <c r="D3" s="227" t="s">
        <v>95</v>
      </c>
      <c r="E3" s="227" t="s">
        <v>95</v>
      </c>
      <c r="F3" s="227" t="s">
        <v>95</v>
      </c>
      <c r="G3" s="58"/>
      <c r="H3" s="58"/>
      <c r="J3" s="62" t="s">
        <v>254</v>
      </c>
      <c r="K3" s="64">
        <f>(绿盟科技IS!C31+绿盟科技IS!C15)/(B49+C49)*2</f>
        <v>5.6426887480985552E-2</v>
      </c>
      <c r="L3" s="64">
        <f>(绿盟科技IS!D31+绿盟科技IS!D15)/(C49+D49)*2</f>
        <v>5.0404377559944834E-2</v>
      </c>
      <c r="M3" s="64">
        <f>(绿盟科技IS!E31+绿盟科技IS!E15)/(D49+E49)*2</f>
        <v>6.4051534443089253E-2</v>
      </c>
      <c r="N3" s="64"/>
      <c r="O3" s="64"/>
      <c r="P3" s="64">
        <f t="shared" ref="P3:P4" si="0">AVERAGE(K3:M3,O3)</f>
        <v>5.6960933161339877E-2</v>
      </c>
    </row>
    <row r="4" spans="1:16">
      <c r="A4" s="60" t="s">
        <v>96</v>
      </c>
      <c r="B4" s="58" t="s">
        <v>49</v>
      </c>
      <c r="C4" s="58" t="s">
        <v>49</v>
      </c>
      <c r="D4" s="58" t="s">
        <v>49</v>
      </c>
      <c r="E4" s="58" t="s">
        <v>49</v>
      </c>
      <c r="F4" s="58" t="s">
        <v>49</v>
      </c>
      <c r="G4" s="58"/>
      <c r="H4" s="58"/>
      <c r="J4" s="62" t="s">
        <v>255</v>
      </c>
      <c r="K4" s="65">
        <f>绿盟科技IS!J2</f>
        <v>0.14456924613800343</v>
      </c>
      <c r="L4" s="65">
        <f>绿盟科技IS!K2</f>
        <v>0.13816242673257667</v>
      </c>
      <c r="M4" s="65">
        <f>绿盟科技IS!L2</f>
        <v>0.14298898710888255</v>
      </c>
      <c r="N4" s="65"/>
      <c r="O4" s="65"/>
      <c r="P4" s="65">
        <f t="shared" si="0"/>
        <v>0.14190688665982087</v>
      </c>
    </row>
    <row r="5" spans="1:16">
      <c r="A5" s="57" t="s">
        <v>97</v>
      </c>
      <c r="B5" s="73">
        <v>94804.942320000002</v>
      </c>
      <c r="C5" s="73">
        <v>173987.59938299999</v>
      </c>
      <c r="D5" s="73">
        <v>122965.113998</v>
      </c>
      <c r="E5" s="73">
        <v>121224.66789200001</v>
      </c>
      <c r="F5" s="73">
        <v>34770.238544</v>
      </c>
      <c r="G5" s="73"/>
      <c r="H5" s="73"/>
      <c r="J5" s="62"/>
      <c r="K5" s="62"/>
      <c r="L5" s="62"/>
      <c r="M5" s="62"/>
      <c r="N5" s="62"/>
      <c r="O5" s="62"/>
      <c r="P5" s="62"/>
    </row>
    <row r="6" spans="1:16">
      <c r="A6" s="57" t="s">
        <v>98</v>
      </c>
      <c r="B6" s="73">
        <v>0</v>
      </c>
      <c r="C6" s="73">
        <v>0</v>
      </c>
      <c r="D6" s="73">
        <v>0</v>
      </c>
      <c r="E6" s="73">
        <v>46039.622222000005</v>
      </c>
      <c r="F6" s="73">
        <v>125922.039726</v>
      </c>
      <c r="G6" s="73">
        <f>F6</f>
        <v>125922.039726</v>
      </c>
      <c r="H6" s="73" t="s">
        <v>749</v>
      </c>
      <c r="J6" s="56" t="s">
        <v>257</v>
      </c>
      <c r="K6" s="38">
        <f>绿盟科技IS!C4/(B49+C49)*2</f>
        <v>0.38781793717798541</v>
      </c>
      <c r="L6" s="38">
        <f>绿盟科技IS!D4/(C49+D49)*2</f>
        <v>0.35426651993029512</v>
      </c>
      <c r="M6" s="38">
        <f>绿盟科技IS!E4/(D49+E49)*2</f>
        <v>0.42230150220593643</v>
      </c>
      <c r="N6" s="38"/>
      <c r="O6" s="38"/>
      <c r="P6" s="38">
        <f t="shared" ref="P6:P8" si="1">AVERAGE(K6:M6,O6)</f>
        <v>0.38812865310473899</v>
      </c>
    </row>
    <row r="7" spans="1:16">
      <c r="A7" s="57" t="s">
        <v>99</v>
      </c>
      <c r="B7" s="73"/>
      <c r="C7" s="73"/>
      <c r="D7" s="73"/>
      <c r="E7" s="73"/>
      <c r="F7" s="73"/>
      <c r="G7" s="73"/>
      <c r="H7" s="73"/>
      <c r="J7" s="56" t="s">
        <v>244</v>
      </c>
      <c r="K7" s="38">
        <f>绿盟科技IS!C4/(B24+C24)*2</f>
        <v>0.53172958677861604</v>
      </c>
      <c r="L7" s="38">
        <f>绿盟科技IS!D4/(C24+D24)*2</f>
        <v>0.4714511014059054</v>
      </c>
      <c r="M7" s="38">
        <f>绿盟科技IS!E4/(D24+E24)*2</f>
        <v>0.57335074847070322</v>
      </c>
      <c r="N7" s="38"/>
      <c r="O7" s="38"/>
      <c r="P7" s="38">
        <f t="shared" si="1"/>
        <v>0.52551047888507485</v>
      </c>
    </row>
    <row r="8" spans="1:16">
      <c r="A8" s="57" t="s">
        <v>100</v>
      </c>
      <c r="B8" s="73"/>
      <c r="C8" s="73"/>
      <c r="D8" s="73"/>
      <c r="E8" s="73"/>
      <c r="F8" s="73"/>
      <c r="G8" s="73"/>
      <c r="H8" s="73"/>
      <c r="J8" s="56" t="s">
        <v>245</v>
      </c>
      <c r="K8" s="66">
        <f>绿盟科技IS!C4/(C8+B8+C9+B9+C12+B12)*2</f>
        <v>1.310174337496387</v>
      </c>
      <c r="L8" s="66">
        <f>绿盟科技IS!D4/(D8+C8+D9+C9+D12+C12)*2</f>
        <v>1.2318593143591388</v>
      </c>
      <c r="M8" s="66">
        <f>绿盟科技IS!E4/(E8+D8+E9+D9+E12+D12)*2</f>
        <v>1.4194748962862034</v>
      </c>
      <c r="N8" s="66"/>
      <c r="O8" s="66"/>
      <c r="P8" s="66">
        <f t="shared" si="1"/>
        <v>1.3205028493805766</v>
      </c>
    </row>
    <row r="9" spans="1:16">
      <c r="A9" s="57" t="s">
        <v>388</v>
      </c>
      <c r="B9" s="73">
        <v>81960.873664999992</v>
      </c>
      <c r="C9" s="73">
        <v>99566.36417999999</v>
      </c>
      <c r="D9" s="73">
        <v>108877.104872</v>
      </c>
      <c r="E9" s="73">
        <v>114890.334252</v>
      </c>
      <c r="F9" s="73">
        <v>84074.610499000002</v>
      </c>
      <c r="G9" s="73"/>
      <c r="H9" s="73"/>
      <c r="J9" s="62"/>
      <c r="K9" s="62"/>
      <c r="L9" s="62"/>
      <c r="M9" s="62"/>
      <c r="N9" s="62"/>
      <c r="O9" s="62"/>
      <c r="P9" s="62"/>
    </row>
    <row r="10" spans="1:16">
      <c r="A10" s="57" t="s">
        <v>102</v>
      </c>
      <c r="B10" s="73">
        <v>1765.118696</v>
      </c>
      <c r="C10" s="73">
        <v>1376.758779</v>
      </c>
      <c r="D10" s="73">
        <v>1956.0538199999999</v>
      </c>
      <c r="E10" s="73">
        <v>2054.943984</v>
      </c>
      <c r="F10" s="73">
        <v>3196.638391</v>
      </c>
      <c r="G10" s="73"/>
      <c r="H10" s="73"/>
      <c r="J10" s="56" t="s">
        <v>246</v>
      </c>
      <c r="K10" s="64">
        <f>C88/C49</f>
        <v>0.23809433931638185</v>
      </c>
      <c r="L10" s="64">
        <f>D88/D49</f>
        <v>0.18884932771760862</v>
      </c>
      <c r="M10" s="64">
        <f>E88/E49</f>
        <v>0.17146561904002836</v>
      </c>
      <c r="N10" s="64"/>
      <c r="O10" s="64"/>
      <c r="P10" s="64">
        <f t="shared" ref="P10:P12" si="2">AVERAGE(K10:M10,O10)</f>
        <v>0.19946976202467293</v>
      </c>
    </row>
    <row r="11" spans="1:16">
      <c r="A11" s="57" t="s">
        <v>103</v>
      </c>
      <c r="B11" s="73"/>
      <c r="C11" s="73"/>
      <c r="D11" s="73"/>
      <c r="E11" s="73"/>
      <c r="F11" s="73"/>
      <c r="G11" s="73"/>
      <c r="H11" s="73"/>
      <c r="J11" s="56" t="s">
        <v>247</v>
      </c>
      <c r="K11" s="68"/>
      <c r="L11" s="68">
        <f>绿盟科技IS!K3</f>
        <v>35.992972342163462</v>
      </c>
      <c r="M11" s="68">
        <f>绿盟科技IS!L3</f>
        <v>13.035028950162321</v>
      </c>
      <c r="N11" s="68"/>
      <c r="O11" s="68"/>
      <c r="P11" s="68">
        <f>AVERAGE(K11:M11,O11)</f>
        <v>24.514000646162891</v>
      </c>
    </row>
    <row r="12" spans="1:16">
      <c r="A12" s="57" t="s">
        <v>104</v>
      </c>
      <c r="B12" s="73">
        <v>5065.9578140000003</v>
      </c>
      <c r="C12" s="73">
        <v>5001.2618860000002</v>
      </c>
      <c r="D12" s="73">
        <v>4930.9773139999998</v>
      </c>
      <c r="E12" s="73">
        <v>6753.5847030000004</v>
      </c>
      <c r="F12" s="73">
        <v>6332.2247930000003</v>
      </c>
      <c r="G12" s="73">
        <f>F12-30855425.67/10000</f>
        <v>3246.6822260000004</v>
      </c>
      <c r="H12" s="73" t="s">
        <v>750</v>
      </c>
      <c r="J12" s="56" t="s">
        <v>248</v>
      </c>
      <c r="K12" s="64">
        <f>(C24-C15)/C72</f>
        <v>3.2327458206723887</v>
      </c>
      <c r="L12" s="64">
        <f>(D24-D15)/D72</f>
        <v>4.0133382249054961</v>
      </c>
      <c r="M12" s="64">
        <f>(E24-E15)/E72</f>
        <v>4.4096126420117852</v>
      </c>
      <c r="N12" s="64"/>
      <c r="O12" s="64"/>
      <c r="P12" s="64">
        <f t="shared" si="2"/>
        <v>3.8852322291965566</v>
      </c>
    </row>
    <row r="13" spans="1:16">
      <c r="A13" s="57" t="s">
        <v>105</v>
      </c>
      <c r="B13" s="73"/>
      <c r="C13" s="73"/>
      <c r="D13" s="73"/>
      <c r="E13" s="73"/>
      <c r="F13" s="73"/>
      <c r="G13" s="73"/>
      <c r="H13" s="73"/>
    </row>
    <row r="14" spans="1:16">
      <c r="A14" s="57" t="s">
        <v>106</v>
      </c>
      <c r="B14" s="73"/>
      <c r="C14" s="73"/>
      <c r="D14" s="73"/>
      <c r="E14" s="73"/>
      <c r="F14" s="73"/>
      <c r="G14" s="73"/>
      <c r="H14" s="73"/>
      <c r="J14" s="56" t="s">
        <v>249</v>
      </c>
      <c r="K14" s="64">
        <f>绿盟科技IS!J6</f>
        <v>0.15074517709176893</v>
      </c>
      <c r="L14" s="64">
        <f>绿盟科技IS!K6</f>
        <v>7.1651084847786928E-2</v>
      </c>
      <c r="M14" s="64">
        <f>绿盟科技IS!L6</f>
        <v>0.24240921548964889</v>
      </c>
      <c r="N14" s="64"/>
      <c r="O14" s="64"/>
      <c r="P14" s="64">
        <f t="shared" ref="P14:P16" si="3">AVERAGE(K14:M14,O14)</f>
        <v>0.15493515914306824</v>
      </c>
    </row>
    <row r="15" spans="1:16">
      <c r="A15" s="57" t="s">
        <v>107</v>
      </c>
      <c r="B15" s="73">
        <v>2600.2357809999999</v>
      </c>
      <c r="C15" s="73">
        <v>4372.7376350000004</v>
      </c>
      <c r="D15" s="73">
        <v>3964.2886600000002</v>
      </c>
      <c r="E15" s="73">
        <v>5270.5318569999999</v>
      </c>
      <c r="F15" s="73">
        <v>13344.170421999999</v>
      </c>
      <c r="G15" s="73"/>
      <c r="H15" s="73"/>
      <c r="J15" s="56" t="s">
        <v>250</v>
      </c>
      <c r="K15" s="65">
        <f>C106/B106-1</f>
        <v>0.49341655866288803</v>
      </c>
      <c r="L15" s="65">
        <f>D106/C106-1</f>
        <v>8.4581862654170559E-2</v>
      </c>
      <c r="M15" s="65">
        <f>E106/D106-1</f>
        <v>8.8162928129138729E-2</v>
      </c>
      <c r="N15" s="65"/>
      <c r="O15" s="65"/>
      <c r="P15" s="65">
        <f t="shared" si="3"/>
        <v>0.22205378314873245</v>
      </c>
    </row>
    <row r="16" spans="1:16">
      <c r="A16" s="57" t="s">
        <v>108</v>
      </c>
      <c r="B16" s="73"/>
      <c r="C16" s="73"/>
      <c r="D16" s="73"/>
      <c r="E16" s="73"/>
      <c r="F16" s="73"/>
      <c r="G16" s="73"/>
      <c r="H16" s="73"/>
      <c r="J16" s="56" t="s">
        <v>261</v>
      </c>
      <c r="K16" s="64">
        <f>绿盟科技IS!J8</f>
        <v>1.6611930242879547E-2</v>
      </c>
      <c r="L16" s="64">
        <f>绿盟科技IS!K8</f>
        <v>2.4159137911193174E-2</v>
      </c>
      <c r="M16" s="64">
        <f>绿盟科技IS!L8</f>
        <v>0.28581148651552213</v>
      </c>
      <c r="N16" s="64"/>
      <c r="O16" s="64"/>
      <c r="P16" s="64">
        <f t="shared" si="3"/>
        <v>0.10886085155653162</v>
      </c>
    </row>
    <row r="17" spans="1:8">
      <c r="A17" s="57" t="s">
        <v>109</v>
      </c>
      <c r="B17" s="73"/>
      <c r="C17" s="73"/>
      <c r="D17" s="73"/>
      <c r="E17" s="73"/>
      <c r="F17" s="73"/>
      <c r="G17" s="73"/>
      <c r="H17" s="73"/>
    </row>
    <row r="18" spans="1:8">
      <c r="A18" s="57" t="s">
        <v>110</v>
      </c>
      <c r="B18" s="73"/>
      <c r="C18" s="73"/>
      <c r="D18" s="73"/>
      <c r="E18" s="73"/>
      <c r="F18" s="73"/>
      <c r="G18" s="73"/>
      <c r="H18" s="73"/>
    </row>
    <row r="19" spans="1:8">
      <c r="A19" s="57" t="s">
        <v>111</v>
      </c>
      <c r="B19" s="73"/>
      <c r="C19" s="73"/>
      <c r="D19" s="73"/>
      <c r="E19" s="73"/>
      <c r="F19" s="73"/>
      <c r="G19" s="73"/>
      <c r="H19" s="73"/>
    </row>
    <row r="20" spans="1:8">
      <c r="A20" s="57" t="s">
        <v>112</v>
      </c>
      <c r="B20" s="73">
        <v>834.23046799999997</v>
      </c>
      <c r="C20" s="73">
        <v>750.00924699999996</v>
      </c>
      <c r="D20" s="73">
        <v>42847.809942</v>
      </c>
      <c r="E20" s="73">
        <v>1145.989595</v>
      </c>
      <c r="F20" s="73">
        <v>1226.0720349999999</v>
      </c>
      <c r="G20" s="73">
        <f>1912899.46/10000</f>
        <v>191.28994599999999</v>
      </c>
      <c r="H20" s="73" t="s">
        <v>751</v>
      </c>
    </row>
    <row r="21" spans="1:8">
      <c r="A21" s="57" t="s">
        <v>113</v>
      </c>
      <c r="B21" s="73"/>
      <c r="C21" s="73"/>
      <c r="D21" s="73"/>
      <c r="E21" s="73"/>
      <c r="F21" s="73"/>
      <c r="G21" s="73"/>
      <c r="H21" s="73"/>
    </row>
    <row r="22" spans="1:8">
      <c r="A22" s="57" t="s">
        <v>114</v>
      </c>
      <c r="B22" s="73"/>
      <c r="C22" s="73"/>
      <c r="D22" s="73"/>
      <c r="E22" s="73"/>
      <c r="F22" s="73"/>
      <c r="G22" s="73"/>
      <c r="H22" s="73"/>
    </row>
    <row r="23" spans="1:8">
      <c r="A23" s="57" t="s">
        <v>115</v>
      </c>
      <c r="B23" s="73"/>
      <c r="C23" s="73"/>
      <c r="D23" s="73"/>
      <c r="E23" s="73"/>
      <c r="F23" s="73"/>
      <c r="G23" s="73"/>
      <c r="H23" s="73"/>
    </row>
    <row r="24" spans="1:8">
      <c r="A24" s="60" t="s">
        <v>116</v>
      </c>
      <c r="B24" s="103">
        <f t="shared" ref="B24" si="4">SUM(B5:B23)</f>
        <v>187031.35874399997</v>
      </c>
      <c r="C24" s="103">
        <f t="shared" ref="C24:E24" si="5">SUM(C5:C23)</f>
        <v>285054.73110999999</v>
      </c>
      <c r="D24" s="103">
        <f t="shared" si="5"/>
        <v>285541.34860599996</v>
      </c>
      <c r="E24" s="103">
        <f t="shared" si="5"/>
        <v>297379.67450500012</v>
      </c>
      <c r="F24" s="103">
        <f t="shared" ref="F24" si="6">SUM(F5:F23)</f>
        <v>268865.99441000004</v>
      </c>
      <c r="G24" s="103">
        <f>SUM(G5:G23)</f>
        <v>129360.01189800001</v>
      </c>
      <c r="H24" s="103"/>
    </row>
    <row r="25" spans="1:8">
      <c r="A25" s="60" t="s">
        <v>117</v>
      </c>
      <c r="B25" s="72" t="s">
        <v>49</v>
      </c>
      <c r="C25" s="72" t="s">
        <v>49</v>
      </c>
      <c r="D25" s="72" t="s">
        <v>49</v>
      </c>
      <c r="E25" s="72" t="s">
        <v>49</v>
      </c>
      <c r="F25" s="72" t="s">
        <v>49</v>
      </c>
      <c r="G25" s="72"/>
      <c r="H25" s="72"/>
    </row>
    <row r="26" spans="1:8">
      <c r="A26" s="57" t="s">
        <v>118</v>
      </c>
      <c r="B26" s="73"/>
      <c r="C26" s="73"/>
      <c r="D26" s="73"/>
      <c r="E26" s="73"/>
      <c r="F26" s="73"/>
      <c r="G26" s="73"/>
      <c r="H26" s="73"/>
    </row>
    <row r="27" spans="1:8">
      <c r="A27" s="57" t="s">
        <v>119</v>
      </c>
      <c r="B27" s="73">
        <v>14864.192288</v>
      </c>
      <c r="C27" s="73">
        <v>16635.944402000001</v>
      </c>
      <c r="D27" s="73">
        <v>18421.058272999999</v>
      </c>
      <c r="E27" s="73">
        <v>19616.348808000002</v>
      </c>
      <c r="F27" s="73">
        <v>19831.389842</v>
      </c>
      <c r="G27" s="73">
        <f>F27</f>
        <v>19831.389842</v>
      </c>
      <c r="H27" s="73"/>
    </row>
    <row r="28" spans="1:8">
      <c r="A28" s="57" t="s">
        <v>120</v>
      </c>
      <c r="B28" s="73">
        <v>0</v>
      </c>
      <c r="C28" s="73">
        <v>0</v>
      </c>
      <c r="D28" s="73">
        <v>0</v>
      </c>
      <c r="E28" s="73"/>
      <c r="F28" s="73"/>
      <c r="G28" s="73"/>
      <c r="H28" s="73"/>
    </row>
    <row r="29" spans="1:8">
      <c r="A29" s="57" t="s">
        <v>121</v>
      </c>
      <c r="B29" s="73"/>
      <c r="C29" s="73"/>
      <c r="D29" s="73"/>
      <c r="E29" s="73"/>
      <c r="F29" s="73"/>
      <c r="G29" s="73"/>
      <c r="H29" s="73"/>
    </row>
    <row r="30" spans="1:8">
      <c r="A30" s="57" t="s">
        <v>122</v>
      </c>
      <c r="B30" s="73">
        <v>0</v>
      </c>
      <c r="C30" s="73">
        <v>0</v>
      </c>
      <c r="D30" s="73">
        <v>0</v>
      </c>
      <c r="E30" s="73">
        <v>3024</v>
      </c>
      <c r="F30" s="73">
        <v>2842.265852</v>
      </c>
      <c r="G30" s="73">
        <f>F30</f>
        <v>2842.265852</v>
      </c>
      <c r="H30" s="73"/>
    </row>
    <row r="31" spans="1:8">
      <c r="A31" s="57" t="s">
        <v>123</v>
      </c>
      <c r="B31" s="73"/>
      <c r="C31" s="73"/>
      <c r="D31" s="73"/>
      <c r="E31" s="73"/>
      <c r="F31" s="73"/>
      <c r="G31" s="73"/>
      <c r="H31" s="73"/>
    </row>
    <row r="32" spans="1:8">
      <c r="A32" s="57" t="s">
        <v>124</v>
      </c>
      <c r="B32" s="73">
        <v>11697.267173</v>
      </c>
      <c r="C32" s="73">
        <v>11566.287368000001</v>
      </c>
      <c r="D32" s="73">
        <v>11947.429463</v>
      </c>
      <c r="E32" s="73">
        <v>10490.317628000001</v>
      </c>
      <c r="F32" s="73">
        <v>21495.531653999999</v>
      </c>
      <c r="G32" s="73">
        <f>F32-E32</f>
        <v>11005.214025999998</v>
      </c>
      <c r="H32" s="73" t="s">
        <v>752</v>
      </c>
    </row>
    <row r="33" spans="1:8">
      <c r="A33" s="57" t="s">
        <v>125</v>
      </c>
      <c r="B33" s="73">
        <v>11.057352999999999</v>
      </c>
      <c r="C33" s="73">
        <v>0</v>
      </c>
      <c r="D33" s="73">
        <v>0</v>
      </c>
      <c r="E33" s="73">
        <v>6988.1261010000007</v>
      </c>
      <c r="F33" s="73">
        <v>0</v>
      </c>
      <c r="G33" s="73"/>
      <c r="H33" s="73"/>
    </row>
    <row r="34" spans="1:8">
      <c r="A34" s="57" t="s">
        <v>126</v>
      </c>
      <c r="B34" s="73"/>
      <c r="C34" s="73"/>
      <c r="D34" s="73"/>
      <c r="E34" s="73"/>
      <c r="F34" s="73"/>
      <c r="G34" s="73"/>
      <c r="H34" s="73"/>
    </row>
    <row r="35" spans="1:8">
      <c r="A35" s="57" t="s">
        <v>127</v>
      </c>
      <c r="B35" s="73"/>
      <c r="C35" s="73"/>
      <c r="D35" s="73"/>
      <c r="E35" s="73"/>
      <c r="F35" s="73"/>
      <c r="G35" s="73"/>
      <c r="H35" s="73"/>
    </row>
    <row r="36" spans="1:8">
      <c r="A36" s="57" t="s">
        <v>128</v>
      </c>
      <c r="B36" s="73"/>
      <c r="C36" s="73"/>
      <c r="D36" s="73"/>
      <c r="E36" s="73"/>
      <c r="F36" s="73"/>
      <c r="G36" s="73"/>
      <c r="H36" s="73"/>
    </row>
    <row r="37" spans="1:8">
      <c r="A37" s="57" t="s">
        <v>129</v>
      </c>
      <c r="B37" s="73"/>
      <c r="C37" s="73"/>
      <c r="D37" s="73"/>
      <c r="E37" s="73"/>
      <c r="F37" s="73"/>
      <c r="G37" s="73"/>
      <c r="H37" s="73"/>
    </row>
    <row r="38" spans="1:8">
      <c r="A38" s="57" t="s">
        <v>130</v>
      </c>
      <c r="B38" s="73">
        <v>10953.165251999999</v>
      </c>
      <c r="C38" s="73">
        <v>15678.541246000001</v>
      </c>
      <c r="D38" s="73">
        <v>19885.831988999998</v>
      </c>
      <c r="E38" s="73">
        <v>24457.049109</v>
      </c>
      <c r="F38" s="73">
        <v>19353.649973</v>
      </c>
      <c r="G38" s="73"/>
      <c r="H38" s="73"/>
    </row>
    <row r="39" spans="1:8">
      <c r="A39" s="57" t="s">
        <v>131</v>
      </c>
      <c r="B39" s="73">
        <v>1775.4797079999998</v>
      </c>
      <c r="C39" s="73">
        <v>1789.950566</v>
      </c>
      <c r="D39" s="73">
        <v>2263.0259860000001</v>
      </c>
      <c r="E39" s="73">
        <v>259.72577000000001</v>
      </c>
      <c r="F39" s="73">
        <v>6358.741129</v>
      </c>
      <c r="G39" s="73"/>
      <c r="H39" s="73"/>
    </row>
    <row r="40" spans="1:8">
      <c r="A40" s="57" t="s">
        <v>132</v>
      </c>
      <c r="B40" s="73">
        <v>42296.968239999995</v>
      </c>
      <c r="C40" s="73">
        <v>42296.968239999995</v>
      </c>
      <c r="D40" s="73">
        <v>42195.150676999998</v>
      </c>
      <c r="E40" s="73">
        <v>41340.337629000001</v>
      </c>
      <c r="F40" s="73">
        <v>41340.337629000001</v>
      </c>
      <c r="G40" s="73"/>
      <c r="H40" s="73"/>
    </row>
    <row r="41" spans="1:8">
      <c r="A41" s="57" t="s">
        <v>133</v>
      </c>
      <c r="B41" s="73">
        <v>842.7773380000001</v>
      </c>
      <c r="C41" s="73">
        <v>806.27113099999997</v>
      </c>
      <c r="D41" s="73">
        <v>488.997525</v>
      </c>
      <c r="E41" s="73">
        <v>471.02506900000003</v>
      </c>
      <c r="F41" s="73">
        <v>2124.524476</v>
      </c>
      <c r="G41" s="73"/>
      <c r="H41" s="73"/>
    </row>
    <row r="42" spans="1:8">
      <c r="A42" s="57" t="s">
        <v>134</v>
      </c>
      <c r="B42" s="73">
        <v>1633.699662</v>
      </c>
      <c r="C42" s="73">
        <v>2316.590416</v>
      </c>
      <c r="D42" s="73">
        <v>2450.2104010000003</v>
      </c>
      <c r="E42" s="73">
        <v>4201.1713099999997</v>
      </c>
      <c r="F42" s="73">
        <v>4637.2237729999997</v>
      </c>
      <c r="G42" s="73">
        <f>F42</f>
        <v>4637.2237729999997</v>
      </c>
      <c r="H42" s="73"/>
    </row>
    <row r="43" spans="1:8">
      <c r="A43" s="57" t="s">
        <v>135</v>
      </c>
      <c r="B43" s="73">
        <v>16.752137000000001</v>
      </c>
      <c r="C43" s="73"/>
      <c r="D43" s="73"/>
      <c r="E43" s="73"/>
      <c r="F43" s="73"/>
      <c r="G43" s="73"/>
      <c r="H43" s="73"/>
    </row>
    <row r="44" spans="1:8">
      <c r="A44" s="57" t="s">
        <v>136</v>
      </c>
      <c r="B44" s="73"/>
      <c r="C44" s="73"/>
      <c r="D44" s="73"/>
      <c r="E44" s="73"/>
      <c r="F44" s="73"/>
      <c r="G44" s="73"/>
      <c r="H44" s="73"/>
    </row>
    <row r="45" spans="1:8">
      <c r="A45" s="57" t="s">
        <v>137</v>
      </c>
      <c r="B45" s="73"/>
      <c r="C45" s="73"/>
      <c r="D45" s="73"/>
      <c r="E45" s="73"/>
      <c r="F45" s="73"/>
      <c r="G45" s="73"/>
      <c r="H45" s="73"/>
    </row>
    <row r="46" spans="1:8">
      <c r="A46" s="60" t="s">
        <v>138</v>
      </c>
      <c r="B46" s="103">
        <f t="shared" ref="B46" si="7">SUM(B26:B45)</f>
        <v>84091.359150999997</v>
      </c>
      <c r="C46" s="103">
        <f t="shared" ref="C46:E46" si="8">SUM(C26:C45)</f>
        <v>91090.553369000001</v>
      </c>
      <c r="D46" s="103">
        <f t="shared" si="8"/>
        <v>97651.704314000002</v>
      </c>
      <c r="E46" s="103">
        <f t="shared" si="8"/>
        <v>110848.10142399999</v>
      </c>
      <c r="F46" s="103">
        <f t="shared" ref="F46:G46" si="9">SUM(F26:F45)</f>
        <v>117983.66432800001</v>
      </c>
      <c r="G46" s="103">
        <f t="shared" si="9"/>
        <v>38316.093493</v>
      </c>
      <c r="H46" s="103"/>
    </row>
    <row r="47" spans="1:8">
      <c r="A47" s="57" t="s">
        <v>139</v>
      </c>
      <c r="B47" s="73"/>
      <c r="C47" s="73"/>
      <c r="D47" s="73"/>
      <c r="E47" s="73"/>
      <c r="F47" s="73"/>
      <c r="G47" s="73"/>
      <c r="H47" s="73"/>
    </row>
    <row r="48" spans="1:8">
      <c r="A48" s="57" t="s">
        <v>140</v>
      </c>
      <c r="B48" s="73"/>
      <c r="C48" s="73"/>
      <c r="D48" s="73"/>
      <c r="E48" s="73"/>
      <c r="F48" s="73"/>
      <c r="G48" s="73"/>
      <c r="H48" s="73"/>
    </row>
    <row r="49" spans="1:8">
      <c r="A49" s="60" t="s">
        <v>12</v>
      </c>
      <c r="B49" s="103">
        <f t="shared" ref="B49:G49" si="10">B46+B24</f>
        <v>271122.71789499995</v>
      </c>
      <c r="C49" s="103">
        <f t="shared" si="10"/>
        <v>376145.28447900002</v>
      </c>
      <c r="D49" s="103">
        <f t="shared" si="10"/>
        <v>383193.05291999993</v>
      </c>
      <c r="E49" s="103">
        <f t="shared" si="10"/>
        <v>408227.77592900011</v>
      </c>
      <c r="F49" s="103">
        <f t="shared" si="10"/>
        <v>386849.65873800009</v>
      </c>
      <c r="G49" s="103">
        <f t="shared" si="10"/>
        <v>167676.10539100002</v>
      </c>
      <c r="H49" s="103"/>
    </row>
    <row r="50" spans="1:8">
      <c r="A50" s="60" t="s">
        <v>141</v>
      </c>
      <c r="B50" s="72" t="s">
        <v>49</v>
      </c>
      <c r="C50" s="72" t="s">
        <v>49</v>
      </c>
      <c r="D50" s="72" t="s">
        <v>49</v>
      </c>
      <c r="E50" s="72" t="s">
        <v>49</v>
      </c>
      <c r="F50" s="72" t="s">
        <v>49</v>
      </c>
      <c r="G50" s="72"/>
      <c r="H50" s="72"/>
    </row>
    <row r="51" spans="1:8">
      <c r="A51" s="57" t="s">
        <v>142</v>
      </c>
      <c r="B51" s="73">
        <v>17190.575000000001</v>
      </c>
      <c r="C51" s="73">
        <v>22706.345000000001</v>
      </c>
      <c r="D51" s="73">
        <v>23849.62</v>
      </c>
      <c r="E51" s="73">
        <v>13470.690697</v>
      </c>
      <c r="F51" s="73">
        <v>3453.0067509999999</v>
      </c>
      <c r="G51" s="73"/>
      <c r="H51" s="73"/>
    </row>
    <row r="52" spans="1:8">
      <c r="A52" s="57" t="s">
        <v>143</v>
      </c>
      <c r="B52" s="73"/>
      <c r="C52" s="73"/>
      <c r="D52" s="73"/>
      <c r="E52" s="73"/>
      <c r="F52" s="73"/>
      <c r="G52" s="73"/>
      <c r="H52" s="73"/>
    </row>
    <row r="53" spans="1:8">
      <c r="A53" s="57" t="s">
        <v>144</v>
      </c>
      <c r="B53" s="73"/>
      <c r="C53" s="73"/>
      <c r="D53" s="73"/>
      <c r="E53" s="73"/>
      <c r="F53" s="73"/>
      <c r="G53" s="73"/>
      <c r="H53" s="73"/>
    </row>
    <row r="54" spans="1:8">
      <c r="A54" s="57" t="s">
        <v>145</v>
      </c>
      <c r="B54" s="73"/>
      <c r="C54" s="73"/>
      <c r="D54" s="73"/>
      <c r="E54" s="73"/>
      <c r="F54" s="73"/>
      <c r="G54" s="73"/>
      <c r="H54" s="73"/>
    </row>
    <row r="55" spans="1:8">
      <c r="A55" s="57" t="s">
        <v>303</v>
      </c>
      <c r="B55" s="73">
        <v>10354.129832999999</v>
      </c>
      <c r="C55" s="73">
        <v>15635.039965</v>
      </c>
      <c r="D55" s="73">
        <v>11318.341784999999</v>
      </c>
      <c r="E55" s="73">
        <v>18097.749211000002</v>
      </c>
      <c r="F55" s="73">
        <v>14557.062309999999</v>
      </c>
      <c r="G55" s="73"/>
      <c r="H55" s="73"/>
    </row>
    <row r="56" spans="1:8">
      <c r="A56" s="57" t="s">
        <v>147</v>
      </c>
      <c r="B56" s="73">
        <v>4602.3099929999998</v>
      </c>
      <c r="C56" s="73">
        <v>4402.2948640000004</v>
      </c>
      <c r="D56" s="73">
        <v>3721.0391270000005</v>
      </c>
      <c r="E56" s="73">
        <v>9493.0969430000005</v>
      </c>
      <c r="F56" s="73">
        <v>375.63686899999999</v>
      </c>
      <c r="G56" s="73"/>
      <c r="H56" s="73"/>
    </row>
    <row r="57" spans="1:8">
      <c r="A57" s="57" t="s">
        <v>739</v>
      </c>
      <c r="B57" s="73">
        <v>0</v>
      </c>
      <c r="C57" s="73">
        <v>0</v>
      </c>
      <c r="D57" s="73">
        <v>0</v>
      </c>
      <c r="E57" s="73">
        <v>0</v>
      </c>
      <c r="F57" s="73">
        <v>11222.083508</v>
      </c>
      <c r="G57" s="73"/>
      <c r="H57" s="73"/>
    </row>
    <row r="58" spans="1:8">
      <c r="A58" s="57" t="s">
        <v>148</v>
      </c>
      <c r="B58" s="73">
        <v>6389.0318649999999</v>
      </c>
      <c r="C58" s="73">
        <v>4575.2381399999995</v>
      </c>
      <c r="D58" s="73">
        <v>6861.204358</v>
      </c>
      <c r="E58" s="73">
        <v>9909.1724119999999</v>
      </c>
      <c r="F58" s="73">
        <v>8536.2134319999986</v>
      </c>
      <c r="G58" s="73"/>
      <c r="H58" s="73"/>
    </row>
    <row r="59" spans="1:8">
      <c r="A59" s="57" t="s">
        <v>149</v>
      </c>
      <c r="B59" s="73">
        <v>9888.4747700000007</v>
      </c>
      <c r="C59" s="73">
        <v>11637.864532</v>
      </c>
      <c r="D59" s="73">
        <v>10434.670465000001</v>
      </c>
      <c r="E59" s="73">
        <v>9057.2070760000006</v>
      </c>
      <c r="F59" s="73">
        <v>8469.8401560000002</v>
      </c>
      <c r="G59" s="73"/>
      <c r="H59" s="73"/>
    </row>
    <row r="60" spans="1:8">
      <c r="A60" s="57" t="s">
        <v>150</v>
      </c>
      <c r="B60" s="73"/>
      <c r="C60" s="73"/>
      <c r="D60" s="73"/>
      <c r="E60" s="73"/>
      <c r="F60" s="73"/>
      <c r="G60" s="73"/>
      <c r="H60" s="73"/>
    </row>
    <row r="61" spans="1:8">
      <c r="A61" s="57" t="s">
        <v>151</v>
      </c>
      <c r="B61" s="73"/>
      <c r="C61" s="73"/>
      <c r="D61" s="73"/>
      <c r="E61" s="73"/>
      <c r="F61" s="73"/>
      <c r="G61" s="73"/>
      <c r="H61" s="73"/>
    </row>
    <row r="62" spans="1:8">
      <c r="A62" s="57" t="s">
        <v>152</v>
      </c>
      <c r="B62" s="73">
        <v>25269.905500999997</v>
      </c>
      <c r="C62" s="73">
        <v>27867.857926999997</v>
      </c>
      <c r="D62" s="73">
        <v>13975.435747999998</v>
      </c>
      <c r="E62" s="73">
        <v>6215.8030899999994</v>
      </c>
      <c r="F62" s="73">
        <v>6989.0270069999997</v>
      </c>
      <c r="G62" s="73">
        <f>11077240.94/10000</f>
        <v>1107.7240939999999</v>
      </c>
      <c r="H62" s="73" t="s">
        <v>753</v>
      </c>
    </row>
    <row r="63" spans="1:8">
      <c r="A63" s="57" t="s">
        <v>153</v>
      </c>
      <c r="B63" s="73"/>
      <c r="C63" s="73"/>
      <c r="D63" s="73"/>
      <c r="E63" s="73"/>
      <c r="F63" s="73"/>
      <c r="G63" s="73"/>
      <c r="H63" s="73"/>
    </row>
    <row r="64" spans="1:8">
      <c r="A64" s="57" t="s">
        <v>154</v>
      </c>
      <c r="B64" s="73"/>
      <c r="C64" s="73"/>
      <c r="D64" s="73"/>
      <c r="E64" s="73"/>
      <c r="F64" s="73"/>
      <c r="G64" s="73"/>
      <c r="H64" s="73"/>
    </row>
    <row r="65" spans="1:9">
      <c r="A65" s="57" t="s">
        <v>155</v>
      </c>
      <c r="B65" s="73"/>
      <c r="C65" s="73"/>
      <c r="D65" s="73"/>
      <c r="E65" s="73"/>
      <c r="F65" s="73"/>
      <c r="G65" s="73"/>
      <c r="H65" s="73"/>
    </row>
    <row r="66" spans="1:9">
      <c r="A66" s="57" t="s">
        <v>156</v>
      </c>
      <c r="B66" s="73"/>
      <c r="C66" s="73"/>
      <c r="D66" s="73"/>
      <c r="E66" s="73"/>
      <c r="F66" s="73"/>
      <c r="G66" s="73"/>
      <c r="H66" s="73"/>
    </row>
    <row r="67" spans="1:9">
      <c r="A67" s="57" t="s">
        <v>157</v>
      </c>
      <c r="B67" s="73"/>
      <c r="C67" s="73"/>
      <c r="D67" s="73"/>
      <c r="E67" s="73"/>
      <c r="F67" s="73"/>
      <c r="G67" s="73"/>
      <c r="H67" s="73"/>
    </row>
    <row r="68" spans="1:9">
      <c r="A68" s="57" t="s">
        <v>158</v>
      </c>
      <c r="B68" s="73"/>
      <c r="C68" s="73"/>
      <c r="D68" s="73"/>
      <c r="E68" s="73"/>
      <c r="F68" s="73"/>
      <c r="G68" s="73"/>
      <c r="H68" s="73"/>
    </row>
    <row r="69" spans="1:9">
      <c r="A69" s="57" t="s">
        <v>159</v>
      </c>
      <c r="B69" s="73"/>
      <c r="C69" s="73"/>
      <c r="D69" s="73"/>
      <c r="E69" s="73"/>
      <c r="F69" s="73"/>
      <c r="G69" s="73"/>
      <c r="H69" s="73"/>
    </row>
    <row r="70" spans="1:9">
      <c r="A70" s="57" t="s">
        <v>160</v>
      </c>
      <c r="B70" s="73"/>
      <c r="C70" s="73"/>
      <c r="D70" s="73"/>
      <c r="E70" s="73"/>
      <c r="F70" s="73"/>
      <c r="G70" s="73"/>
      <c r="H70" s="73"/>
    </row>
    <row r="71" spans="1:9">
      <c r="A71" s="57" t="s">
        <v>161</v>
      </c>
      <c r="B71" s="73"/>
      <c r="C71" s="73"/>
      <c r="D71" s="73"/>
      <c r="E71" s="73"/>
      <c r="F71" s="73"/>
      <c r="G71" s="73"/>
      <c r="H71" s="73"/>
    </row>
    <row r="72" spans="1:9">
      <c r="A72" s="60" t="s">
        <v>162</v>
      </c>
      <c r="B72" s="103">
        <f t="shared" ref="B72" si="11">SUM(B51:B71)</f>
        <v>73694.426961999998</v>
      </c>
      <c r="C72" s="103">
        <f t="shared" ref="C72:G72" si="12">SUM(C51:C71)</f>
        <v>86824.640428000013</v>
      </c>
      <c r="D72" s="103">
        <f t="shared" si="12"/>
        <v>70160.311483000012</v>
      </c>
      <c r="E72" s="103">
        <f t="shared" si="12"/>
        <v>66243.71942899999</v>
      </c>
      <c r="F72" s="103">
        <f t="shared" si="12"/>
        <v>53602.870032999992</v>
      </c>
      <c r="G72" s="103">
        <f t="shared" si="12"/>
        <v>1107.7240939999999</v>
      </c>
      <c r="H72" s="103"/>
      <c r="I72" s="60"/>
    </row>
    <row r="73" spans="1:9">
      <c r="A73" s="60" t="s">
        <v>163</v>
      </c>
      <c r="B73" s="72" t="s">
        <v>49</v>
      </c>
      <c r="C73" s="72" t="s">
        <v>49</v>
      </c>
      <c r="D73" s="72" t="s">
        <v>49</v>
      </c>
      <c r="E73" s="72" t="s">
        <v>49</v>
      </c>
      <c r="F73" s="72"/>
      <c r="G73" s="72"/>
      <c r="H73" s="72"/>
    </row>
    <row r="74" spans="1:9">
      <c r="A74" s="57" t="s">
        <v>164</v>
      </c>
      <c r="B74" s="73"/>
      <c r="C74" s="73"/>
      <c r="D74" s="73"/>
      <c r="E74" s="73"/>
      <c r="F74" s="73"/>
      <c r="G74" s="73"/>
      <c r="H74" s="73"/>
    </row>
    <row r="75" spans="1:9">
      <c r="A75" s="57" t="s">
        <v>165</v>
      </c>
      <c r="B75" s="73"/>
      <c r="C75" s="73"/>
      <c r="D75" s="73"/>
      <c r="E75" s="73"/>
      <c r="F75" s="73"/>
      <c r="G75" s="73"/>
      <c r="H75" s="73"/>
    </row>
    <row r="76" spans="1:9">
      <c r="A76" s="57" t="s">
        <v>166</v>
      </c>
      <c r="B76" s="73"/>
      <c r="C76" s="73"/>
      <c r="D76" s="73"/>
      <c r="E76" s="73"/>
      <c r="F76" s="73"/>
      <c r="G76" s="73"/>
      <c r="H76" s="73"/>
    </row>
    <row r="77" spans="1:9">
      <c r="A77" s="57" t="s">
        <v>167</v>
      </c>
      <c r="B77" s="73"/>
      <c r="C77" s="73"/>
      <c r="D77" s="73"/>
      <c r="E77" s="73"/>
      <c r="F77" s="73"/>
      <c r="G77" s="73"/>
      <c r="H77" s="73"/>
    </row>
    <row r="78" spans="1:9">
      <c r="A78" s="57" t="s">
        <v>168</v>
      </c>
      <c r="B78" s="73"/>
      <c r="C78" s="73"/>
      <c r="D78" s="73"/>
      <c r="E78" s="73"/>
      <c r="F78" s="73"/>
      <c r="G78" s="73"/>
      <c r="H78" s="73"/>
    </row>
    <row r="79" spans="1:9">
      <c r="A79" s="57" t="s">
        <v>169</v>
      </c>
      <c r="B79" s="73"/>
      <c r="C79" s="73"/>
      <c r="D79" s="73"/>
      <c r="E79" s="73"/>
      <c r="F79" s="73"/>
      <c r="G79" s="73"/>
      <c r="H79" s="73"/>
    </row>
    <row r="80" spans="1:9">
      <c r="A80" s="57" t="s">
        <v>170</v>
      </c>
      <c r="B80" s="73">
        <v>419.64326500000004</v>
      </c>
      <c r="C80" s="73">
        <v>419.64326500000004</v>
      </c>
      <c r="D80" s="73">
        <v>362.20836200000002</v>
      </c>
      <c r="E80" s="73">
        <v>1128.4215939999999</v>
      </c>
      <c r="F80" s="73">
        <v>1128.4215939999999</v>
      </c>
      <c r="G80" s="73">
        <f>F80</f>
        <v>1128.4215939999999</v>
      </c>
      <c r="H80" s="73"/>
    </row>
    <row r="81" spans="1:8">
      <c r="A81" s="57" t="s">
        <v>171</v>
      </c>
      <c r="B81" s="73">
        <v>5108.2567009999993</v>
      </c>
      <c r="C81" s="73">
        <v>2313.7793019999999</v>
      </c>
      <c r="D81" s="127">
        <v>1843.2305850000002</v>
      </c>
      <c r="E81" s="127">
        <v>2624.8872860000001</v>
      </c>
      <c r="F81" s="73">
        <v>3738.7128049999997</v>
      </c>
      <c r="G81" s="73">
        <f>F81</f>
        <v>3738.7128049999997</v>
      </c>
      <c r="H81" s="73"/>
    </row>
    <row r="82" spans="1:8">
      <c r="A82" s="57" t="s">
        <v>172</v>
      </c>
      <c r="B82" s="73"/>
      <c r="C82" s="73"/>
      <c r="D82" s="127"/>
      <c r="E82" s="127"/>
      <c r="F82" s="73"/>
      <c r="G82" s="73"/>
      <c r="H82" s="73"/>
    </row>
    <row r="83" spans="1:8">
      <c r="A83" s="57" t="s">
        <v>173</v>
      </c>
      <c r="B83" s="73"/>
      <c r="C83" s="73"/>
      <c r="D83" s="73"/>
      <c r="E83" s="73"/>
      <c r="F83" s="73"/>
      <c r="G83" s="73"/>
      <c r="H83" s="73"/>
    </row>
    <row r="84" spans="1:8">
      <c r="A84" s="57" t="s">
        <v>174</v>
      </c>
      <c r="B84" s="73"/>
      <c r="C84" s="73"/>
      <c r="D84" s="73"/>
      <c r="E84" s="73"/>
      <c r="F84" s="73"/>
      <c r="G84" s="73"/>
      <c r="H84" s="73"/>
    </row>
    <row r="85" spans="1:8">
      <c r="A85" s="60" t="s">
        <v>175</v>
      </c>
      <c r="B85" s="103">
        <f t="shared" ref="B85" si="13">SUM(B74:B84)</f>
        <v>5527.899965999999</v>
      </c>
      <c r="C85" s="103">
        <f t="shared" ref="C85:E85" si="14">SUM(C74:C84)</f>
        <v>2733.4225670000001</v>
      </c>
      <c r="D85" s="103">
        <f t="shared" si="14"/>
        <v>2205.4389470000001</v>
      </c>
      <c r="E85" s="103">
        <f t="shared" si="14"/>
        <v>3753.30888</v>
      </c>
      <c r="F85" s="103">
        <f t="shared" ref="F85:G85" si="15">SUM(F74:F84)</f>
        <v>4867.1343989999996</v>
      </c>
      <c r="G85" s="103">
        <f t="shared" si="15"/>
        <v>4867.1343989999996</v>
      </c>
      <c r="H85" s="103"/>
    </row>
    <row r="86" spans="1:8">
      <c r="A86" s="57" t="s">
        <v>176</v>
      </c>
      <c r="B86" s="73"/>
      <c r="C86" s="73"/>
      <c r="D86" s="73"/>
      <c r="E86" s="73"/>
      <c r="F86" s="73"/>
      <c r="G86" s="73"/>
      <c r="H86" s="73"/>
    </row>
    <row r="87" spans="1:8">
      <c r="A87" s="57" t="s">
        <v>177</v>
      </c>
      <c r="B87" s="73"/>
      <c r="C87" s="73"/>
      <c r="D87" s="73"/>
      <c r="E87" s="73"/>
      <c r="F87" s="73"/>
      <c r="G87" s="73"/>
      <c r="H87" s="73"/>
    </row>
    <row r="88" spans="1:8">
      <c r="A88" s="60" t="s">
        <v>178</v>
      </c>
      <c r="B88" s="103">
        <f t="shared" ref="B88" si="16">B85+B72</f>
        <v>79222.326927999995</v>
      </c>
      <c r="C88" s="103">
        <f t="shared" ref="C88:E88" si="17">C85+C72</f>
        <v>89558.062995000015</v>
      </c>
      <c r="D88" s="103">
        <f t="shared" si="17"/>
        <v>72365.750430000015</v>
      </c>
      <c r="E88" s="103">
        <f t="shared" si="17"/>
        <v>69997.028308999987</v>
      </c>
      <c r="F88" s="103">
        <f t="shared" ref="F88:G88" si="18">F85+F72</f>
        <v>58470.004431999994</v>
      </c>
      <c r="G88" s="103">
        <f t="shared" si="18"/>
        <v>5974.8584929999997</v>
      </c>
      <c r="H88" s="103"/>
    </row>
    <row r="89" spans="1:8">
      <c r="A89" s="60" t="s">
        <v>58</v>
      </c>
      <c r="B89" s="72" t="s">
        <v>49</v>
      </c>
      <c r="C89" s="72" t="s">
        <v>49</v>
      </c>
      <c r="D89" s="72" t="s">
        <v>49</v>
      </c>
      <c r="E89" s="72" t="s">
        <v>49</v>
      </c>
      <c r="F89" s="72" t="s">
        <v>49</v>
      </c>
      <c r="G89" s="72"/>
      <c r="H89" s="72"/>
    </row>
    <row r="90" spans="1:8">
      <c r="A90" s="57" t="s">
        <v>179</v>
      </c>
      <c r="B90" s="73">
        <v>37226.580999999998</v>
      </c>
      <c r="C90" s="73">
        <v>80417.208700000003</v>
      </c>
      <c r="D90" s="73">
        <v>79967.414099999995</v>
      </c>
      <c r="E90" s="73">
        <v>79811.766099999993</v>
      </c>
      <c r="F90" s="73">
        <v>79811.766099999993</v>
      </c>
      <c r="G90" s="73"/>
      <c r="H90" s="73"/>
    </row>
    <row r="91" spans="1:8">
      <c r="A91" s="57" t="s">
        <v>180</v>
      </c>
      <c r="B91" s="73"/>
      <c r="C91" s="73"/>
      <c r="D91" s="73"/>
      <c r="E91" s="73"/>
      <c r="F91" s="73"/>
      <c r="G91" s="73"/>
      <c r="H91" s="73"/>
    </row>
    <row r="92" spans="1:8">
      <c r="A92" s="57" t="s">
        <v>181</v>
      </c>
      <c r="B92" s="73"/>
      <c r="C92" s="73"/>
      <c r="D92" s="73"/>
      <c r="E92" s="73"/>
      <c r="F92" s="73"/>
      <c r="G92" s="73"/>
      <c r="H92" s="73"/>
    </row>
    <row r="93" spans="1:8">
      <c r="A93" s="57" t="s">
        <v>182</v>
      </c>
      <c r="B93" s="73">
        <v>96050.086099000007</v>
      </c>
      <c r="C93" s="73">
        <v>140004.906323</v>
      </c>
      <c r="D93" s="73">
        <v>138136.592126</v>
      </c>
      <c r="E93" s="73">
        <v>138081.56722200001</v>
      </c>
      <c r="F93" s="73">
        <v>138451.293041</v>
      </c>
      <c r="G93" s="73"/>
      <c r="H93" s="73"/>
    </row>
    <row r="94" spans="1:8">
      <c r="A94" s="57" t="s">
        <v>183</v>
      </c>
      <c r="B94" s="73">
        <v>-23111.182000000001</v>
      </c>
      <c r="C94" s="73">
        <v>-26517.906050000001</v>
      </c>
      <c r="D94" s="73">
        <v>-11362.319820999999</v>
      </c>
      <c r="E94" s="73">
        <v>-1879.2617519999999</v>
      </c>
      <c r="F94" s="73">
        <v>-1879.2617519999999</v>
      </c>
      <c r="G94" s="73"/>
      <c r="H94" s="73"/>
    </row>
    <row r="95" spans="1:8">
      <c r="A95" s="57" t="s">
        <v>184</v>
      </c>
      <c r="B95" s="73">
        <v>-283.66650299999998</v>
      </c>
      <c r="C95" s="73">
        <v>178.472151</v>
      </c>
      <c r="D95" s="73">
        <v>-347.14732999999995</v>
      </c>
      <c r="E95" s="73">
        <v>-2278.212203</v>
      </c>
      <c r="F95" s="73">
        <v>-2484.6940440000003</v>
      </c>
      <c r="G95" s="73"/>
      <c r="H95" s="73"/>
    </row>
    <row r="96" spans="1:8">
      <c r="A96" s="57" t="s">
        <v>185</v>
      </c>
      <c r="B96" s="247" t="s">
        <v>49</v>
      </c>
      <c r="C96" s="73"/>
      <c r="D96" s="73"/>
      <c r="E96" s="73"/>
      <c r="F96" s="73"/>
      <c r="G96" s="73"/>
      <c r="H96" s="73"/>
    </row>
    <row r="97" spans="1:8">
      <c r="A97" s="57" t="s">
        <v>186</v>
      </c>
      <c r="B97" s="73">
        <v>9162.2480009999999</v>
      </c>
      <c r="C97" s="73">
        <v>10209.182271</v>
      </c>
      <c r="D97" s="73">
        <v>12277.38457</v>
      </c>
      <c r="E97" s="73">
        <v>15125.856834</v>
      </c>
      <c r="F97" s="73">
        <v>15125.856834</v>
      </c>
      <c r="G97" s="73"/>
      <c r="H97" s="73"/>
    </row>
    <row r="98" spans="1:8">
      <c r="A98" s="57" t="s">
        <v>187</v>
      </c>
      <c r="B98" s="73"/>
      <c r="C98" s="73"/>
      <c r="D98" s="73"/>
      <c r="E98" s="73"/>
      <c r="F98" s="73"/>
      <c r="G98" s="73"/>
      <c r="H98" s="73"/>
    </row>
    <row r="99" spans="1:8">
      <c r="A99" s="57" t="s">
        <v>188</v>
      </c>
      <c r="B99" s="73">
        <v>72882.451348000002</v>
      </c>
      <c r="C99" s="73">
        <v>82293.621696000002</v>
      </c>
      <c r="D99" s="73">
        <v>92213.611887000006</v>
      </c>
      <c r="E99" s="73">
        <v>109449.480356</v>
      </c>
      <c r="F99" s="73">
        <v>99454.544407000009</v>
      </c>
      <c r="G99" s="73"/>
      <c r="H99" s="73"/>
    </row>
    <row r="100" spans="1:8">
      <c r="A100" s="57" t="s">
        <v>189</v>
      </c>
      <c r="B100" s="73"/>
      <c r="C100" s="73"/>
      <c r="D100" s="73"/>
      <c r="E100" s="73"/>
      <c r="F100" s="73"/>
      <c r="G100" s="73"/>
      <c r="H100" s="73"/>
    </row>
    <row r="101" spans="1:8">
      <c r="A101" s="57" t="s">
        <v>190</v>
      </c>
      <c r="B101" s="73"/>
      <c r="C101" s="73"/>
      <c r="D101" s="73"/>
      <c r="E101" s="73"/>
      <c r="F101" s="73"/>
      <c r="G101" s="73"/>
      <c r="H101" s="73"/>
    </row>
    <row r="102" spans="1:8">
      <c r="A102" s="57" t="s">
        <v>191</v>
      </c>
      <c r="B102" s="73"/>
      <c r="C102" s="73"/>
      <c r="D102" s="73"/>
      <c r="E102" s="73"/>
      <c r="F102" s="73"/>
      <c r="G102" s="73"/>
      <c r="H102" s="73"/>
    </row>
    <row r="103" spans="1:8">
      <c r="A103" s="57" t="s">
        <v>192</v>
      </c>
      <c r="B103" s="73"/>
      <c r="C103" s="73"/>
      <c r="D103" s="73"/>
      <c r="E103" s="73"/>
      <c r="F103" s="73"/>
      <c r="G103" s="73"/>
      <c r="H103" s="73"/>
    </row>
    <row r="104" spans="1:8">
      <c r="A104" s="60" t="s">
        <v>193</v>
      </c>
      <c r="B104" s="103">
        <f>SUM(B90:B103)</f>
        <v>191926.51794500003</v>
      </c>
      <c r="C104" s="103">
        <f>SUM(C90:C103)</f>
        <v>286585.48509099998</v>
      </c>
      <c r="D104" s="103">
        <f>SUM(D90:D103)</f>
        <v>310885.53553200001</v>
      </c>
      <c r="E104" s="103">
        <f>SUM(E90:E103)</f>
        <v>338311.19655699999</v>
      </c>
      <c r="F104" s="103">
        <f>SUM(F90:F103)</f>
        <v>328479.504586</v>
      </c>
      <c r="G104" s="103"/>
      <c r="H104" s="103"/>
    </row>
    <row r="105" spans="1:8">
      <c r="A105" s="57" t="s">
        <v>194</v>
      </c>
      <c r="B105" s="73">
        <v>-26.126978000000001</v>
      </c>
      <c r="C105" s="73">
        <v>1.7363930000000001</v>
      </c>
      <c r="D105" s="73">
        <v>-58.233042000000005</v>
      </c>
      <c r="E105" s="73">
        <v>-80.448937000000001</v>
      </c>
      <c r="F105" s="73">
        <v>-99.850279999999998</v>
      </c>
      <c r="G105" s="73"/>
      <c r="H105" s="73"/>
    </row>
    <row r="106" spans="1:8">
      <c r="A106" s="60" t="s">
        <v>195</v>
      </c>
      <c r="B106" s="103">
        <f t="shared" ref="B106" si="19">B104+B105</f>
        <v>191900.39096700004</v>
      </c>
      <c r="C106" s="103">
        <f t="shared" ref="C106:E106" si="20">C104+C105</f>
        <v>286587.22148399998</v>
      </c>
      <c r="D106" s="103">
        <f t="shared" si="20"/>
        <v>310827.30249000003</v>
      </c>
      <c r="E106" s="103">
        <f t="shared" si="20"/>
        <v>338230.74761999998</v>
      </c>
      <c r="F106" s="103">
        <f t="shared" ref="F106" si="21">F104+F105</f>
        <v>328379.65430599998</v>
      </c>
      <c r="G106" s="103"/>
      <c r="H106" s="103"/>
    </row>
    <row r="107" spans="1:8">
      <c r="A107" s="57" t="s">
        <v>196</v>
      </c>
      <c r="B107" s="73"/>
      <c r="C107" s="73"/>
      <c r="D107" s="73"/>
      <c r="E107" s="73"/>
      <c r="F107" s="73"/>
      <c r="G107" s="73"/>
      <c r="H107" s="73"/>
    </row>
    <row r="108" spans="1:8">
      <c r="A108" s="57" t="s">
        <v>197</v>
      </c>
      <c r="B108" s="73"/>
      <c r="C108" s="73"/>
      <c r="D108" s="73"/>
      <c r="E108" s="73"/>
      <c r="F108" s="73"/>
      <c r="G108" s="73"/>
      <c r="H108" s="73"/>
    </row>
    <row r="109" spans="1:8">
      <c r="A109" s="57" t="s">
        <v>198</v>
      </c>
      <c r="B109" s="103">
        <f t="shared" ref="B109" si="22">B106+B88</f>
        <v>271122.71789500001</v>
      </c>
      <c r="C109" s="103">
        <f t="shared" ref="C109:E109" si="23">C106+C88</f>
        <v>376145.28447900002</v>
      </c>
      <c r="D109" s="103">
        <f t="shared" si="23"/>
        <v>383193.05292000005</v>
      </c>
      <c r="E109" s="103">
        <f t="shared" si="23"/>
        <v>408227.775929</v>
      </c>
      <c r="F109" s="103">
        <f t="shared" ref="F109" si="24">F106+F88</f>
        <v>386849.65873799997</v>
      </c>
      <c r="G109" s="103"/>
      <c r="H109" s="103"/>
    </row>
    <row r="111" spans="1:8" ht="12.75" customHeight="1">
      <c r="A111" s="57" t="s">
        <v>741</v>
      </c>
      <c r="B111" s="70"/>
      <c r="C111" s="104"/>
      <c r="D111" s="104"/>
      <c r="E111" s="104"/>
      <c r="F111" s="104"/>
      <c r="G111" s="251">
        <f>G49-G88</f>
        <v>161701.24689800001</v>
      </c>
      <c r="H111" s="58"/>
    </row>
    <row r="112" spans="1:8">
      <c r="A112" s="57" t="s">
        <v>746</v>
      </c>
      <c r="B112" s="70"/>
      <c r="C112" s="104"/>
      <c r="D112" s="104"/>
      <c r="E112" s="104"/>
      <c r="F112" s="104"/>
      <c r="G112" s="252">
        <f>F51</f>
        <v>3453.0067509999999</v>
      </c>
      <c r="H112" s="58"/>
    </row>
    <row r="113" spans="1:8">
      <c r="A113" s="57" t="s">
        <v>199</v>
      </c>
      <c r="B113" s="70">
        <f t="shared" ref="B113" si="25">B109-B49</f>
        <v>0</v>
      </c>
      <c r="C113" s="70">
        <f t="shared" ref="C113:E113" si="26">C109-C49</f>
        <v>0</v>
      </c>
      <c r="D113" s="70">
        <f t="shared" si="26"/>
        <v>0</v>
      </c>
      <c r="E113" s="70">
        <f t="shared" si="26"/>
        <v>0</v>
      </c>
      <c r="F113" s="70">
        <f t="shared" ref="F113" si="27">F109-F49</f>
        <v>0</v>
      </c>
      <c r="G113" s="70"/>
      <c r="H113" s="70"/>
    </row>
  </sheetData>
  <phoneticPr fontId="2" type="noConversion"/>
  <pageMargins left="0.7" right="0.7" top="0.75" bottom="0.75" header="0.3" footer="0.3"/>
  <pageSetup paperSize="9" orientation="portrait"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52"/>
  <sheetViews>
    <sheetView workbookViewId="0">
      <selection activeCell="K3" sqref="K3"/>
    </sheetView>
  </sheetViews>
  <sheetFormatPr defaultRowHeight="13"/>
  <cols>
    <col min="1" max="1" width="23.453125" style="57" customWidth="1"/>
    <col min="2" max="2" width="16.6328125" style="245" customWidth="1"/>
    <col min="3" max="4" width="14.7265625" style="70" customWidth="1"/>
    <col min="5" max="5" width="17.453125" style="70" bestFit="1" customWidth="1"/>
    <col min="6" max="6" width="14.7265625" style="70" customWidth="1"/>
    <col min="7" max="7" width="17.453125" style="70" bestFit="1" customWidth="1"/>
    <col min="8" max="8" width="9" style="57"/>
    <col min="9" max="9" width="23.6328125" style="57" bestFit="1" customWidth="1"/>
    <col min="10" max="10" width="10.26953125" style="57" bestFit="1" customWidth="1"/>
    <col min="11" max="257" width="9" style="57"/>
    <col min="258" max="258" width="46.36328125" style="57" bestFit="1" customWidth="1"/>
    <col min="259" max="259" width="15.08984375" style="57" bestFit="1" customWidth="1"/>
    <col min="260" max="262" width="16.08984375" style="57" bestFit="1" customWidth="1"/>
    <col min="263" max="263" width="15" style="57" bestFit="1" customWidth="1"/>
    <col min="264" max="513" width="9" style="57"/>
    <col min="514" max="514" width="46.36328125" style="57" bestFit="1" customWidth="1"/>
    <col min="515" max="515" width="15.08984375" style="57" bestFit="1" customWidth="1"/>
    <col min="516" max="518" width="16.08984375" style="57" bestFit="1" customWidth="1"/>
    <col min="519" max="519" width="15" style="57" bestFit="1" customWidth="1"/>
    <col min="520" max="769" width="9" style="57"/>
    <col min="770" max="770" width="46.36328125" style="57" bestFit="1" customWidth="1"/>
    <col min="771" max="771" width="15.08984375" style="57" bestFit="1" customWidth="1"/>
    <col min="772" max="774" width="16.08984375" style="57" bestFit="1" customWidth="1"/>
    <col min="775" max="775" width="15" style="57" bestFit="1" customWidth="1"/>
    <col min="776" max="1025" width="9" style="57"/>
    <col min="1026" max="1026" width="46.36328125" style="57" bestFit="1" customWidth="1"/>
    <col min="1027" max="1027" width="15.08984375" style="57" bestFit="1" customWidth="1"/>
    <col min="1028" max="1030" width="16.08984375" style="57" bestFit="1" customWidth="1"/>
    <col min="1031" max="1031" width="15" style="57" bestFit="1" customWidth="1"/>
    <col min="1032" max="1281" width="9" style="57"/>
    <col min="1282" max="1282" width="46.36328125" style="57" bestFit="1" customWidth="1"/>
    <col min="1283" max="1283" width="15.08984375" style="57" bestFit="1" customWidth="1"/>
    <col min="1284" max="1286" width="16.08984375" style="57" bestFit="1" customWidth="1"/>
    <col min="1287" max="1287" width="15" style="57" bestFit="1" customWidth="1"/>
    <col min="1288" max="1537" width="9" style="57"/>
    <col min="1538" max="1538" width="46.36328125" style="57" bestFit="1" customWidth="1"/>
    <col min="1539" max="1539" width="15.08984375" style="57" bestFit="1" customWidth="1"/>
    <col min="1540" max="1542" width="16.08984375" style="57" bestFit="1" customWidth="1"/>
    <col min="1543" max="1543" width="15" style="57" bestFit="1" customWidth="1"/>
    <col min="1544" max="1793" width="9" style="57"/>
    <col min="1794" max="1794" width="46.36328125" style="57" bestFit="1" customWidth="1"/>
    <col min="1795" max="1795" width="15.08984375" style="57" bestFit="1" customWidth="1"/>
    <col min="1796" max="1798" width="16.08984375" style="57" bestFit="1" customWidth="1"/>
    <col min="1799" max="1799" width="15" style="57" bestFit="1" customWidth="1"/>
    <col min="1800" max="2049" width="9" style="57"/>
    <col min="2050" max="2050" width="46.36328125" style="57" bestFit="1" customWidth="1"/>
    <col min="2051" max="2051" width="15.08984375" style="57" bestFit="1" customWidth="1"/>
    <col min="2052" max="2054" width="16.08984375" style="57" bestFit="1" customWidth="1"/>
    <col min="2055" max="2055" width="15" style="57" bestFit="1" customWidth="1"/>
    <col min="2056" max="2305" width="9" style="57"/>
    <col min="2306" max="2306" width="46.36328125" style="57" bestFit="1" customWidth="1"/>
    <col min="2307" max="2307" width="15.08984375" style="57" bestFit="1" customWidth="1"/>
    <col min="2308" max="2310" width="16.08984375" style="57" bestFit="1" customWidth="1"/>
    <col min="2311" max="2311" width="15" style="57" bestFit="1" customWidth="1"/>
    <col min="2312" max="2561" width="9" style="57"/>
    <col min="2562" max="2562" width="46.36328125" style="57" bestFit="1" customWidth="1"/>
    <col min="2563" max="2563" width="15.08984375" style="57" bestFit="1" customWidth="1"/>
    <col min="2564" max="2566" width="16.08984375" style="57" bestFit="1" customWidth="1"/>
    <col min="2567" max="2567" width="15" style="57" bestFit="1" customWidth="1"/>
    <col min="2568" max="2817" width="9" style="57"/>
    <col min="2818" max="2818" width="46.36328125" style="57" bestFit="1" customWidth="1"/>
    <col min="2819" max="2819" width="15.08984375" style="57" bestFit="1" customWidth="1"/>
    <col min="2820" max="2822" width="16.08984375" style="57" bestFit="1" customWidth="1"/>
    <col min="2823" max="2823" width="15" style="57" bestFit="1" customWidth="1"/>
    <col min="2824" max="3073" width="9" style="57"/>
    <col min="3074" max="3074" width="46.36328125" style="57" bestFit="1" customWidth="1"/>
    <col min="3075" max="3075" width="15.08984375" style="57" bestFit="1" customWidth="1"/>
    <col min="3076" max="3078" width="16.08984375" style="57" bestFit="1" customWidth="1"/>
    <col min="3079" max="3079" width="15" style="57" bestFit="1" customWidth="1"/>
    <col min="3080" max="3329" width="9" style="57"/>
    <col min="3330" max="3330" width="46.36328125" style="57" bestFit="1" customWidth="1"/>
    <col min="3331" max="3331" width="15.08984375" style="57" bestFit="1" customWidth="1"/>
    <col min="3332" max="3334" width="16.08984375" style="57" bestFit="1" customWidth="1"/>
    <col min="3335" max="3335" width="15" style="57" bestFit="1" customWidth="1"/>
    <col min="3336" max="3585" width="9" style="57"/>
    <col min="3586" max="3586" width="46.36328125" style="57" bestFit="1" customWidth="1"/>
    <col min="3587" max="3587" width="15.08984375" style="57" bestFit="1" customWidth="1"/>
    <col min="3588" max="3590" width="16.08984375" style="57" bestFit="1" customWidth="1"/>
    <col min="3591" max="3591" width="15" style="57" bestFit="1" customWidth="1"/>
    <col min="3592" max="3841" width="9" style="57"/>
    <col min="3842" max="3842" width="46.36328125" style="57" bestFit="1" customWidth="1"/>
    <col min="3843" max="3843" width="15.08984375" style="57" bestFit="1" customWidth="1"/>
    <col min="3844" max="3846" width="16.08984375" style="57" bestFit="1" customWidth="1"/>
    <col min="3847" max="3847" width="15" style="57" bestFit="1" customWidth="1"/>
    <col min="3848" max="4097" width="9" style="57"/>
    <col min="4098" max="4098" width="46.36328125" style="57" bestFit="1" customWidth="1"/>
    <col min="4099" max="4099" width="15.08984375" style="57" bestFit="1" customWidth="1"/>
    <col min="4100" max="4102" width="16.08984375" style="57" bestFit="1" customWidth="1"/>
    <col min="4103" max="4103" width="15" style="57" bestFit="1" customWidth="1"/>
    <col min="4104" max="4353" width="9" style="57"/>
    <col min="4354" max="4354" width="46.36328125" style="57" bestFit="1" customWidth="1"/>
    <col min="4355" max="4355" width="15.08984375" style="57" bestFit="1" customWidth="1"/>
    <col min="4356" max="4358" width="16.08984375" style="57" bestFit="1" customWidth="1"/>
    <col min="4359" max="4359" width="15" style="57" bestFit="1" customWidth="1"/>
    <col min="4360" max="4609" width="9" style="57"/>
    <col min="4610" max="4610" width="46.36328125" style="57" bestFit="1" customWidth="1"/>
    <col min="4611" max="4611" width="15.08984375" style="57" bestFit="1" customWidth="1"/>
    <col min="4612" max="4614" width="16.08984375" style="57" bestFit="1" customWidth="1"/>
    <col min="4615" max="4615" width="15" style="57" bestFit="1" customWidth="1"/>
    <col min="4616" max="4865" width="9" style="57"/>
    <col min="4866" max="4866" width="46.36328125" style="57" bestFit="1" customWidth="1"/>
    <col min="4867" max="4867" width="15.08984375" style="57" bestFit="1" customWidth="1"/>
    <col min="4868" max="4870" width="16.08984375" style="57" bestFit="1" customWidth="1"/>
    <col min="4871" max="4871" width="15" style="57" bestFit="1" customWidth="1"/>
    <col min="4872" max="5121" width="9" style="57"/>
    <col min="5122" max="5122" width="46.36328125" style="57" bestFit="1" customWidth="1"/>
    <col min="5123" max="5123" width="15.08984375" style="57" bestFit="1" customWidth="1"/>
    <col min="5124" max="5126" width="16.08984375" style="57" bestFit="1" customWidth="1"/>
    <col min="5127" max="5127" width="15" style="57" bestFit="1" customWidth="1"/>
    <col min="5128" max="5377" width="9" style="57"/>
    <col min="5378" max="5378" width="46.36328125" style="57" bestFit="1" customWidth="1"/>
    <col min="5379" max="5379" width="15.08984375" style="57" bestFit="1" customWidth="1"/>
    <col min="5380" max="5382" width="16.08984375" style="57" bestFit="1" customWidth="1"/>
    <col min="5383" max="5383" width="15" style="57" bestFit="1" customWidth="1"/>
    <col min="5384" max="5633" width="9" style="57"/>
    <col min="5634" max="5634" width="46.36328125" style="57" bestFit="1" customWidth="1"/>
    <col min="5635" max="5635" width="15.08984375" style="57" bestFit="1" customWidth="1"/>
    <col min="5636" max="5638" width="16.08984375" style="57" bestFit="1" customWidth="1"/>
    <col min="5639" max="5639" width="15" style="57" bestFit="1" customWidth="1"/>
    <col min="5640" max="5889" width="9" style="57"/>
    <col min="5890" max="5890" width="46.36328125" style="57" bestFit="1" customWidth="1"/>
    <col min="5891" max="5891" width="15.08984375" style="57" bestFit="1" customWidth="1"/>
    <col min="5892" max="5894" width="16.08984375" style="57" bestFit="1" customWidth="1"/>
    <col min="5895" max="5895" width="15" style="57" bestFit="1" customWidth="1"/>
    <col min="5896" max="6145" width="9" style="57"/>
    <col min="6146" max="6146" width="46.36328125" style="57" bestFit="1" customWidth="1"/>
    <col min="6147" max="6147" width="15.08984375" style="57" bestFit="1" customWidth="1"/>
    <col min="6148" max="6150" width="16.08984375" style="57" bestFit="1" customWidth="1"/>
    <col min="6151" max="6151" width="15" style="57" bestFit="1" customWidth="1"/>
    <col min="6152" max="6401" width="9" style="57"/>
    <col min="6402" max="6402" width="46.36328125" style="57" bestFit="1" customWidth="1"/>
    <col min="6403" max="6403" width="15.08984375" style="57" bestFit="1" customWidth="1"/>
    <col min="6404" max="6406" width="16.08984375" style="57" bestFit="1" customWidth="1"/>
    <col min="6407" max="6407" width="15" style="57" bestFit="1" customWidth="1"/>
    <col min="6408" max="6657" width="9" style="57"/>
    <col min="6658" max="6658" width="46.36328125" style="57" bestFit="1" customWidth="1"/>
    <col min="6659" max="6659" width="15.08984375" style="57" bestFit="1" customWidth="1"/>
    <col min="6660" max="6662" width="16.08984375" style="57" bestFit="1" customWidth="1"/>
    <col min="6663" max="6663" width="15" style="57" bestFit="1" customWidth="1"/>
    <col min="6664" max="6913" width="9" style="57"/>
    <col min="6914" max="6914" width="46.36328125" style="57" bestFit="1" customWidth="1"/>
    <col min="6915" max="6915" width="15.08984375" style="57" bestFit="1" customWidth="1"/>
    <col min="6916" max="6918" width="16.08984375" style="57" bestFit="1" customWidth="1"/>
    <col min="6919" max="6919" width="15" style="57" bestFit="1" customWidth="1"/>
    <col min="6920" max="7169" width="9" style="57"/>
    <col min="7170" max="7170" width="46.36328125" style="57" bestFit="1" customWidth="1"/>
    <col min="7171" max="7171" width="15.08984375" style="57" bestFit="1" customWidth="1"/>
    <col min="7172" max="7174" width="16.08984375" style="57" bestFit="1" customWidth="1"/>
    <col min="7175" max="7175" width="15" style="57" bestFit="1" customWidth="1"/>
    <col min="7176" max="7425" width="9" style="57"/>
    <col min="7426" max="7426" width="46.36328125" style="57" bestFit="1" customWidth="1"/>
    <col min="7427" max="7427" width="15.08984375" style="57" bestFit="1" customWidth="1"/>
    <col min="7428" max="7430" width="16.08984375" style="57" bestFit="1" customWidth="1"/>
    <col min="7431" max="7431" width="15" style="57" bestFit="1" customWidth="1"/>
    <col min="7432" max="7681" width="9" style="57"/>
    <col min="7682" max="7682" width="46.36328125" style="57" bestFit="1" customWidth="1"/>
    <col min="7683" max="7683" width="15.08984375" style="57" bestFit="1" customWidth="1"/>
    <col min="7684" max="7686" width="16.08984375" style="57" bestFit="1" customWidth="1"/>
    <col min="7687" max="7687" width="15" style="57" bestFit="1" customWidth="1"/>
    <col min="7688" max="7937" width="9" style="57"/>
    <col min="7938" max="7938" width="46.36328125" style="57" bestFit="1" customWidth="1"/>
    <col min="7939" max="7939" width="15.08984375" style="57" bestFit="1" customWidth="1"/>
    <col min="7940" max="7942" width="16.08984375" style="57" bestFit="1" customWidth="1"/>
    <col min="7943" max="7943" width="15" style="57" bestFit="1" customWidth="1"/>
    <col min="7944" max="8193" width="9" style="57"/>
    <col min="8194" max="8194" width="46.36328125" style="57" bestFit="1" customWidth="1"/>
    <col min="8195" max="8195" width="15.08984375" style="57" bestFit="1" customWidth="1"/>
    <col min="8196" max="8198" width="16.08984375" style="57" bestFit="1" customWidth="1"/>
    <col min="8199" max="8199" width="15" style="57" bestFit="1" customWidth="1"/>
    <col min="8200" max="8449" width="9" style="57"/>
    <col min="8450" max="8450" width="46.36328125" style="57" bestFit="1" customWidth="1"/>
    <col min="8451" max="8451" width="15.08984375" style="57" bestFit="1" customWidth="1"/>
    <col min="8452" max="8454" width="16.08984375" style="57" bestFit="1" customWidth="1"/>
    <col min="8455" max="8455" width="15" style="57" bestFit="1" customWidth="1"/>
    <col min="8456" max="8705" width="9" style="57"/>
    <col min="8706" max="8706" width="46.36328125" style="57" bestFit="1" customWidth="1"/>
    <col min="8707" max="8707" width="15.08984375" style="57" bestFit="1" customWidth="1"/>
    <col min="8708" max="8710" width="16.08984375" style="57" bestFit="1" customWidth="1"/>
    <col min="8711" max="8711" width="15" style="57" bestFit="1" customWidth="1"/>
    <col min="8712" max="8961" width="9" style="57"/>
    <col min="8962" max="8962" width="46.36328125" style="57" bestFit="1" customWidth="1"/>
    <col min="8963" max="8963" width="15.08984375" style="57" bestFit="1" customWidth="1"/>
    <col min="8964" max="8966" width="16.08984375" style="57" bestFit="1" customWidth="1"/>
    <col min="8967" max="8967" width="15" style="57" bestFit="1" customWidth="1"/>
    <col min="8968" max="9217" width="9" style="57"/>
    <col min="9218" max="9218" width="46.36328125" style="57" bestFit="1" customWidth="1"/>
    <col min="9219" max="9219" width="15.08984375" style="57" bestFit="1" customWidth="1"/>
    <col min="9220" max="9222" width="16.08984375" style="57" bestFit="1" customWidth="1"/>
    <col min="9223" max="9223" width="15" style="57" bestFit="1" customWidth="1"/>
    <col min="9224" max="9473" width="9" style="57"/>
    <col min="9474" max="9474" width="46.36328125" style="57" bestFit="1" customWidth="1"/>
    <col min="9475" max="9475" width="15.08984375" style="57" bestFit="1" customWidth="1"/>
    <col min="9476" max="9478" width="16.08984375" style="57" bestFit="1" customWidth="1"/>
    <col min="9479" max="9479" width="15" style="57" bestFit="1" customWidth="1"/>
    <col min="9480" max="9729" width="9" style="57"/>
    <col min="9730" max="9730" width="46.36328125" style="57" bestFit="1" customWidth="1"/>
    <col min="9731" max="9731" width="15.08984375" style="57" bestFit="1" customWidth="1"/>
    <col min="9732" max="9734" width="16.08984375" style="57" bestFit="1" customWidth="1"/>
    <col min="9735" max="9735" width="15" style="57" bestFit="1" customWidth="1"/>
    <col min="9736" max="9985" width="9" style="57"/>
    <col min="9986" max="9986" width="46.36328125" style="57" bestFit="1" customWidth="1"/>
    <col min="9987" max="9987" width="15.08984375" style="57" bestFit="1" customWidth="1"/>
    <col min="9988" max="9990" width="16.08984375" style="57" bestFit="1" customWidth="1"/>
    <col min="9991" max="9991" width="15" style="57" bestFit="1" customWidth="1"/>
    <col min="9992" max="10241" width="9" style="57"/>
    <col min="10242" max="10242" width="46.36328125" style="57" bestFit="1" customWidth="1"/>
    <col min="10243" max="10243" width="15.08984375" style="57" bestFit="1" customWidth="1"/>
    <col min="10244" max="10246" width="16.08984375" style="57" bestFit="1" customWidth="1"/>
    <col min="10247" max="10247" width="15" style="57" bestFit="1" customWidth="1"/>
    <col min="10248" max="10497" width="9" style="57"/>
    <col min="10498" max="10498" width="46.36328125" style="57" bestFit="1" customWidth="1"/>
    <col min="10499" max="10499" width="15.08984375" style="57" bestFit="1" customWidth="1"/>
    <col min="10500" max="10502" width="16.08984375" style="57" bestFit="1" customWidth="1"/>
    <col min="10503" max="10503" width="15" style="57" bestFit="1" customWidth="1"/>
    <col min="10504" max="10753" width="9" style="57"/>
    <col min="10754" max="10754" width="46.36328125" style="57" bestFit="1" customWidth="1"/>
    <col min="10755" max="10755" width="15.08984375" style="57" bestFit="1" customWidth="1"/>
    <col min="10756" max="10758" width="16.08984375" style="57" bestFit="1" customWidth="1"/>
    <col min="10759" max="10759" width="15" style="57" bestFit="1" customWidth="1"/>
    <col min="10760" max="11009" width="9" style="57"/>
    <col min="11010" max="11010" width="46.36328125" style="57" bestFit="1" customWidth="1"/>
    <col min="11011" max="11011" width="15.08984375" style="57" bestFit="1" customWidth="1"/>
    <col min="11012" max="11014" width="16.08984375" style="57" bestFit="1" customWidth="1"/>
    <col min="11015" max="11015" width="15" style="57" bestFit="1" customWidth="1"/>
    <col min="11016" max="11265" width="9" style="57"/>
    <col min="11266" max="11266" width="46.36328125" style="57" bestFit="1" customWidth="1"/>
    <col min="11267" max="11267" width="15.08984375" style="57" bestFit="1" customWidth="1"/>
    <col min="11268" max="11270" width="16.08984375" style="57" bestFit="1" customWidth="1"/>
    <col min="11271" max="11271" width="15" style="57" bestFit="1" customWidth="1"/>
    <col min="11272" max="11521" width="9" style="57"/>
    <col min="11522" max="11522" width="46.36328125" style="57" bestFit="1" customWidth="1"/>
    <col min="11523" max="11523" width="15.08984375" style="57" bestFit="1" customWidth="1"/>
    <col min="11524" max="11526" width="16.08984375" style="57" bestFit="1" customWidth="1"/>
    <col min="11527" max="11527" width="15" style="57" bestFit="1" customWidth="1"/>
    <col min="11528" max="11777" width="9" style="57"/>
    <col min="11778" max="11778" width="46.36328125" style="57" bestFit="1" customWidth="1"/>
    <col min="11779" max="11779" width="15.08984375" style="57" bestFit="1" customWidth="1"/>
    <col min="11780" max="11782" width="16.08984375" style="57" bestFit="1" customWidth="1"/>
    <col min="11783" max="11783" width="15" style="57" bestFit="1" customWidth="1"/>
    <col min="11784" max="12033" width="9" style="57"/>
    <col min="12034" max="12034" width="46.36328125" style="57" bestFit="1" customWidth="1"/>
    <col min="12035" max="12035" width="15.08984375" style="57" bestFit="1" customWidth="1"/>
    <col min="12036" max="12038" width="16.08984375" style="57" bestFit="1" customWidth="1"/>
    <col min="12039" max="12039" width="15" style="57" bestFit="1" customWidth="1"/>
    <col min="12040" max="12289" width="9" style="57"/>
    <col min="12290" max="12290" width="46.36328125" style="57" bestFit="1" customWidth="1"/>
    <col min="12291" max="12291" width="15.08984375" style="57" bestFit="1" customWidth="1"/>
    <col min="12292" max="12294" width="16.08984375" style="57" bestFit="1" customWidth="1"/>
    <col min="12295" max="12295" width="15" style="57" bestFit="1" customWidth="1"/>
    <col min="12296" max="12545" width="9" style="57"/>
    <col min="12546" max="12546" width="46.36328125" style="57" bestFit="1" customWidth="1"/>
    <col min="12547" max="12547" width="15.08984375" style="57" bestFit="1" customWidth="1"/>
    <col min="12548" max="12550" width="16.08984375" style="57" bestFit="1" customWidth="1"/>
    <col min="12551" max="12551" width="15" style="57" bestFit="1" customWidth="1"/>
    <col min="12552" max="12801" width="9" style="57"/>
    <col min="12802" max="12802" width="46.36328125" style="57" bestFit="1" customWidth="1"/>
    <col min="12803" max="12803" width="15.08984375" style="57" bestFit="1" customWidth="1"/>
    <col min="12804" max="12806" width="16.08984375" style="57" bestFit="1" customWidth="1"/>
    <col min="12807" max="12807" width="15" style="57" bestFit="1" customWidth="1"/>
    <col min="12808" max="13057" width="9" style="57"/>
    <col min="13058" max="13058" width="46.36328125" style="57" bestFit="1" customWidth="1"/>
    <col min="13059" max="13059" width="15.08984375" style="57" bestFit="1" customWidth="1"/>
    <col min="13060" max="13062" width="16.08984375" style="57" bestFit="1" customWidth="1"/>
    <col min="13063" max="13063" width="15" style="57" bestFit="1" customWidth="1"/>
    <col min="13064" max="13313" width="9" style="57"/>
    <col min="13314" max="13314" width="46.36328125" style="57" bestFit="1" customWidth="1"/>
    <col min="13315" max="13315" width="15.08984375" style="57" bestFit="1" customWidth="1"/>
    <col min="13316" max="13318" width="16.08984375" style="57" bestFit="1" customWidth="1"/>
    <col min="13319" max="13319" width="15" style="57" bestFit="1" customWidth="1"/>
    <col min="13320" max="13569" width="9" style="57"/>
    <col min="13570" max="13570" width="46.36328125" style="57" bestFit="1" customWidth="1"/>
    <col min="13571" max="13571" width="15.08984375" style="57" bestFit="1" customWidth="1"/>
    <col min="13572" max="13574" width="16.08984375" style="57" bestFit="1" customWidth="1"/>
    <col min="13575" max="13575" width="15" style="57" bestFit="1" customWidth="1"/>
    <col min="13576" max="13825" width="9" style="57"/>
    <col min="13826" max="13826" width="46.36328125" style="57" bestFit="1" customWidth="1"/>
    <col min="13827" max="13827" width="15.08984375" style="57" bestFit="1" customWidth="1"/>
    <col min="13828" max="13830" width="16.08984375" style="57" bestFit="1" customWidth="1"/>
    <col min="13831" max="13831" width="15" style="57" bestFit="1" customWidth="1"/>
    <col min="13832" max="14081" width="9" style="57"/>
    <col min="14082" max="14082" width="46.36328125" style="57" bestFit="1" customWidth="1"/>
    <col min="14083" max="14083" width="15.08984375" style="57" bestFit="1" customWidth="1"/>
    <col min="14084" max="14086" width="16.08984375" style="57" bestFit="1" customWidth="1"/>
    <col min="14087" max="14087" width="15" style="57" bestFit="1" customWidth="1"/>
    <col min="14088" max="14337" width="9" style="57"/>
    <col min="14338" max="14338" width="46.36328125" style="57" bestFit="1" customWidth="1"/>
    <col min="14339" max="14339" width="15.08984375" style="57" bestFit="1" customWidth="1"/>
    <col min="14340" max="14342" width="16.08984375" style="57" bestFit="1" customWidth="1"/>
    <col min="14343" max="14343" width="15" style="57" bestFit="1" customWidth="1"/>
    <col min="14344" max="14593" width="9" style="57"/>
    <col min="14594" max="14594" width="46.36328125" style="57" bestFit="1" customWidth="1"/>
    <col min="14595" max="14595" width="15.08984375" style="57" bestFit="1" customWidth="1"/>
    <col min="14596" max="14598" width="16.08984375" style="57" bestFit="1" customWidth="1"/>
    <col min="14599" max="14599" width="15" style="57" bestFit="1" customWidth="1"/>
    <col min="14600" max="14849" width="9" style="57"/>
    <col min="14850" max="14850" width="46.36328125" style="57" bestFit="1" customWidth="1"/>
    <col min="14851" max="14851" width="15.08984375" style="57" bestFit="1" customWidth="1"/>
    <col min="14852" max="14854" width="16.08984375" style="57" bestFit="1" customWidth="1"/>
    <col min="14855" max="14855" width="15" style="57" bestFit="1" customWidth="1"/>
    <col min="14856" max="15105" width="9" style="57"/>
    <col min="15106" max="15106" width="46.36328125" style="57" bestFit="1" customWidth="1"/>
    <col min="15107" max="15107" width="15.08984375" style="57" bestFit="1" customWidth="1"/>
    <col min="15108" max="15110" width="16.08984375" style="57" bestFit="1" customWidth="1"/>
    <col min="15111" max="15111" width="15" style="57" bestFit="1" customWidth="1"/>
    <col min="15112" max="15361" width="9" style="57"/>
    <col min="15362" max="15362" width="46.36328125" style="57" bestFit="1" customWidth="1"/>
    <col min="15363" max="15363" width="15.08984375" style="57" bestFit="1" customWidth="1"/>
    <col min="15364" max="15366" width="16.08984375" style="57" bestFit="1" customWidth="1"/>
    <col min="15367" max="15367" width="15" style="57" bestFit="1" customWidth="1"/>
    <col min="15368" max="15617" width="9" style="57"/>
    <col min="15618" max="15618" width="46.36328125" style="57" bestFit="1" customWidth="1"/>
    <col min="15619" max="15619" width="15.08984375" style="57" bestFit="1" customWidth="1"/>
    <col min="15620" max="15622" width="16.08984375" style="57" bestFit="1" customWidth="1"/>
    <col min="15623" max="15623" width="15" style="57" bestFit="1" customWidth="1"/>
    <col min="15624" max="15873" width="9" style="57"/>
    <col min="15874" max="15874" width="46.36328125" style="57" bestFit="1" customWidth="1"/>
    <col min="15875" max="15875" width="15.08984375" style="57" bestFit="1" customWidth="1"/>
    <col min="15876" max="15878" width="16.08984375" style="57" bestFit="1" customWidth="1"/>
    <col min="15879" max="15879" width="15" style="57" bestFit="1" customWidth="1"/>
    <col min="15880" max="16129" width="9" style="57"/>
    <col min="16130" max="16130" width="46.36328125" style="57" bestFit="1" customWidth="1"/>
    <col min="16131" max="16131" width="15.08984375" style="57" bestFit="1" customWidth="1"/>
    <col min="16132" max="16134" width="16.08984375" style="57" bestFit="1" customWidth="1"/>
    <col min="16135" max="16135" width="15" style="57" bestFit="1" customWidth="1"/>
    <col min="16136" max="16384" width="9" style="57"/>
  </cols>
  <sheetData>
    <row r="1" spans="1:15">
      <c r="A1" s="57" t="s">
        <v>265</v>
      </c>
      <c r="B1" s="243" t="str">
        <f>山石网科IS!B1</f>
        <v>2016-12-31</v>
      </c>
      <c r="C1" s="104" t="str">
        <f>山石网科IS!C1</f>
        <v>2017-12-31</v>
      </c>
      <c r="D1" s="104" t="str">
        <f>山石网科IS!D1</f>
        <v>2018-12-31</v>
      </c>
      <c r="E1" s="104" t="str">
        <f>山石网科IS!E1</f>
        <v>2019-12-31</v>
      </c>
      <c r="F1" s="104" t="str">
        <f>山石网科IS!F1</f>
        <v>2020-09-30</v>
      </c>
      <c r="G1" s="58">
        <f>山石网科IS!G1</f>
        <v>0</v>
      </c>
      <c r="I1" s="63"/>
      <c r="J1" s="63" t="str">
        <f>C1</f>
        <v>2017-12-31</v>
      </c>
      <c r="K1" s="63" t="str">
        <f>D1</f>
        <v>2018-12-31</v>
      </c>
      <c r="L1" s="63" t="str">
        <f>E1</f>
        <v>2019-12-31</v>
      </c>
      <c r="M1" s="63" t="str">
        <f>F1</f>
        <v>2020-09-30</v>
      </c>
      <c r="N1" s="63" t="s">
        <v>420</v>
      </c>
      <c r="O1" s="62" t="s">
        <v>253</v>
      </c>
    </row>
    <row r="2" spans="1:15">
      <c r="A2" s="57" t="s">
        <v>92</v>
      </c>
      <c r="B2" s="243" t="s">
        <v>93</v>
      </c>
      <c r="C2" s="104" t="s">
        <v>93</v>
      </c>
      <c r="D2" s="104" t="s">
        <v>93</v>
      </c>
      <c r="E2" s="104" t="s">
        <v>269</v>
      </c>
      <c r="F2" s="104" t="s">
        <v>94</v>
      </c>
      <c r="G2" s="58"/>
      <c r="I2" s="63" t="s">
        <v>255</v>
      </c>
      <c r="J2" s="64">
        <f>C25/C4</f>
        <v>0.14456924613800343</v>
      </c>
      <c r="K2" s="64">
        <f>D25/D4</f>
        <v>0.13816242673257667</v>
      </c>
      <c r="L2" s="64">
        <f>E25/E4</f>
        <v>0.14298898710888255</v>
      </c>
      <c r="M2" s="64"/>
      <c r="N2" s="64"/>
      <c r="O2" s="64">
        <f>AVERAGE(J2:L2,N2)</f>
        <v>0.14190688665982087</v>
      </c>
    </row>
    <row r="3" spans="1:15">
      <c r="A3" s="57" t="s">
        <v>57</v>
      </c>
      <c r="B3" s="243" t="s">
        <v>95</v>
      </c>
      <c r="C3" s="104" t="s">
        <v>95</v>
      </c>
      <c r="D3" s="104" t="s">
        <v>95</v>
      </c>
      <c r="E3" s="104" t="s">
        <v>95</v>
      </c>
      <c r="F3" s="104" t="s">
        <v>95</v>
      </c>
      <c r="G3" s="58"/>
      <c r="I3" s="55" t="s">
        <v>247</v>
      </c>
      <c r="J3" s="38"/>
      <c r="K3" s="38">
        <f>(D31+D13)/D15</f>
        <v>35.992972342163462</v>
      </c>
      <c r="L3" s="38">
        <f>(E31+E13)/E15</f>
        <v>13.035028950162321</v>
      </c>
      <c r="M3" s="38"/>
      <c r="N3" s="38"/>
      <c r="O3" s="38">
        <f>AVERAGE(J3:L3,N3)</f>
        <v>24.514000646162891</v>
      </c>
    </row>
    <row r="4" spans="1:15">
      <c r="A4" s="60" t="s">
        <v>201</v>
      </c>
      <c r="B4" s="246">
        <v>109069.386724</v>
      </c>
      <c r="C4" s="70">
        <v>125511.070741</v>
      </c>
      <c r="D4" s="70">
        <v>134504.07511999999</v>
      </c>
      <c r="E4" s="70">
        <v>167109.10245000001</v>
      </c>
      <c r="F4" s="70">
        <v>94285.952560999998</v>
      </c>
      <c r="G4" s="70">
        <v>210572.4118</v>
      </c>
      <c r="H4" s="57">
        <f>G4/E4-1</f>
        <v>0.26008941890525961</v>
      </c>
      <c r="I4" s="63"/>
      <c r="J4" s="62"/>
      <c r="K4" s="62"/>
      <c r="L4" s="62"/>
      <c r="M4" s="62"/>
      <c r="N4" s="62"/>
      <c r="O4" s="62"/>
    </row>
    <row r="5" spans="1:15">
      <c r="A5" s="57" t="s">
        <v>202</v>
      </c>
      <c r="B5" s="245">
        <v>109069.386724</v>
      </c>
      <c r="C5" s="70">
        <v>125511.070741</v>
      </c>
      <c r="D5" s="70">
        <v>134504.07511999999</v>
      </c>
      <c r="E5" s="70">
        <v>167109.10245000001</v>
      </c>
      <c r="F5" s="70">
        <v>94285.952560999998</v>
      </c>
      <c r="I5" s="59"/>
    </row>
    <row r="6" spans="1:15">
      <c r="A6" s="57" t="s">
        <v>203</v>
      </c>
      <c r="I6" s="55" t="s">
        <v>249</v>
      </c>
      <c r="J6" s="64">
        <f>C4/B4-1</f>
        <v>0.15074517709176893</v>
      </c>
      <c r="K6" s="64">
        <f>D4/C4-1</f>
        <v>7.1651084847786928E-2</v>
      </c>
      <c r="L6" s="64">
        <f>E4/D4-1</f>
        <v>0.24240921548964889</v>
      </c>
      <c r="M6" s="64"/>
      <c r="N6" s="64"/>
      <c r="O6" s="64">
        <f>AVERAGE(J6:L6,N6)</f>
        <v>0.15493515914306824</v>
      </c>
    </row>
    <row r="7" spans="1:15">
      <c r="A7" s="60" t="s">
        <v>204</v>
      </c>
      <c r="B7" s="240">
        <v>93025.103109000003</v>
      </c>
      <c r="C7" s="240">
        <v>122293.759173</v>
      </c>
      <c r="D7" s="240">
        <v>128087.21760599999</v>
      </c>
      <c r="E7" s="240">
        <v>156120.70481300002</v>
      </c>
      <c r="F7" s="240">
        <v>100693.79250700001</v>
      </c>
      <c r="I7" s="55" t="s">
        <v>250</v>
      </c>
      <c r="J7" s="62"/>
      <c r="K7" s="62"/>
      <c r="L7" s="62"/>
      <c r="M7" s="62"/>
      <c r="N7" s="62"/>
      <c r="O7" s="62"/>
    </row>
    <row r="8" spans="1:15">
      <c r="A8" s="57" t="s">
        <v>205</v>
      </c>
      <c r="B8" s="239">
        <v>24201.439197</v>
      </c>
      <c r="C8" s="239">
        <v>36197.834422</v>
      </c>
      <c r="D8" s="239">
        <v>31034.336545999999</v>
      </c>
      <c r="E8" s="239">
        <v>47276.186306000003</v>
      </c>
      <c r="F8" s="239">
        <v>28019.682513</v>
      </c>
      <c r="I8" s="55" t="s">
        <v>281</v>
      </c>
      <c r="J8" s="64">
        <f>C25/B25-1</f>
        <v>1.6611930242879547E-2</v>
      </c>
      <c r="K8" s="64">
        <f>D25/C25-1</f>
        <v>2.4159137911193174E-2</v>
      </c>
      <c r="L8" s="64">
        <f>E25/D25-1</f>
        <v>0.28581148651552213</v>
      </c>
      <c r="M8" s="64"/>
      <c r="N8" s="64"/>
      <c r="O8" s="64">
        <f>AVERAGE(J8:L8,N8)</f>
        <v>0.10886085155653162</v>
      </c>
    </row>
    <row r="9" spans="1:15">
      <c r="A9" s="57" t="s">
        <v>206</v>
      </c>
      <c r="B9" s="239">
        <v>1359.120154</v>
      </c>
      <c r="C9" s="239">
        <v>1437.4366130000001</v>
      </c>
      <c r="D9" s="239">
        <v>1580.7108069999999</v>
      </c>
      <c r="E9" s="239">
        <v>1714.215952</v>
      </c>
      <c r="F9" s="239">
        <v>1088.5044359999999</v>
      </c>
    </row>
    <row r="10" spans="1:15">
      <c r="A10" s="57" t="s">
        <v>207</v>
      </c>
      <c r="B10" s="239">
        <v>32807.270804</v>
      </c>
      <c r="C10" s="239">
        <v>41993.038198000002</v>
      </c>
      <c r="D10" s="239">
        <v>50825.564569000002</v>
      </c>
      <c r="E10" s="239">
        <v>59602.266697999999</v>
      </c>
      <c r="F10" s="239">
        <v>37680.327119000001</v>
      </c>
    </row>
    <row r="11" spans="1:15">
      <c r="A11" s="57" t="s">
        <v>208</v>
      </c>
      <c r="B11" s="239">
        <v>33209.800604000004</v>
      </c>
      <c r="C11" s="239">
        <v>40155.263531999997</v>
      </c>
      <c r="D11" s="239">
        <v>14331.819074999999</v>
      </c>
      <c r="E11" s="239">
        <v>11976.26958</v>
      </c>
      <c r="F11" s="239">
        <v>10091.896479000001</v>
      </c>
    </row>
    <row r="12" spans="1:15">
      <c r="A12" s="57" t="s">
        <v>387</v>
      </c>
      <c r="B12" s="239">
        <v>0</v>
      </c>
      <c r="C12" s="239">
        <v>0</v>
      </c>
      <c r="D12" s="239">
        <v>27092.216198000002</v>
      </c>
      <c r="E12" s="239">
        <v>31129.193564999998</v>
      </c>
      <c r="F12" s="239">
        <v>24012.665305000002</v>
      </c>
    </row>
    <row r="13" spans="1:15">
      <c r="A13" s="57" t="s">
        <v>209</v>
      </c>
      <c r="B13" s="239">
        <v>-434.56621100000001</v>
      </c>
      <c r="C13" s="239">
        <v>188.81253700000002</v>
      </c>
      <c r="D13" s="239">
        <v>472.94219400000003</v>
      </c>
      <c r="E13" s="239">
        <v>-1002.645256</v>
      </c>
      <c r="F13" s="239">
        <v>-237.096237</v>
      </c>
    </row>
    <row r="14" spans="1:15" ht="11.25" customHeight="1">
      <c r="A14" s="57" t="s">
        <v>210</v>
      </c>
      <c r="B14" s="239">
        <v>1882.0385609999998</v>
      </c>
      <c r="C14" s="239">
        <v>2321.3738710000002</v>
      </c>
      <c r="D14" s="239">
        <v>2749.6282170000004</v>
      </c>
      <c r="E14" s="239">
        <v>5425.2179679999999</v>
      </c>
      <c r="F14" s="239">
        <v>37.812891999999998</v>
      </c>
    </row>
    <row r="15" spans="1:15">
      <c r="A15" s="225" t="s">
        <v>413</v>
      </c>
      <c r="B15" s="239">
        <v>0</v>
      </c>
      <c r="C15" s="239">
        <v>0</v>
      </c>
      <c r="D15" s="239">
        <v>530.09880199999998</v>
      </c>
      <c r="E15" s="239">
        <v>1734.4612589999999</v>
      </c>
      <c r="F15" s="239">
        <v>475.20205899999996</v>
      </c>
      <c r="G15" s="226"/>
    </row>
    <row r="16" spans="1:15">
      <c r="A16" s="60" t="s">
        <v>211</v>
      </c>
      <c r="B16" s="246"/>
    </row>
    <row r="17" spans="1:7">
      <c r="A17" s="57" t="s">
        <v>212</v>
      </c>
      <c r="B17" s="239">
        <v>0</v>
      </c>
      <c r="C17" s="239">
        <v>0</v>
      </c>
      <c r="D17" s="239">
        <v>0</v>
      </c>
      <c r="E17" s="239">
        <v>-600.98714400000006</v>
      </c>
      <c r="F17" s="239">
        <v>0</v>
      </c>
    </row>
    <row r="18" spans="1:7">
      <c r="A18" s="57" t="s">
        <v>213</v>
      </c>
      <c r="B18" s="239">
        <v>1804.258527</v>
      </c>
      <c r="C18" s="239">
        <v>3861.164217</v>
      </c>
      <c r="D18" s="239">
        <v>4131.7161649999998</v>
      </c>
      <c r="E18" s="239">
        <v>4409.8226409999997</v>
      </c>
      <c r="F18" s="239">
        <v>2477.803598</v>
      </c>
    </row>
    <row r="19" spans="1:7">
      <c r="A19" s="57" t="s">
        <v>214</v>
      </c>
    </row>
    <row r="20" spans="1:7">
      <c r="A20" s="57" t="s">
        <v>215</v>
      </c>
    </row>
    <row r="21" spans="1:7">
      <c r="A21" s="57" t="s">
        <v>216</v>
      </c>
      <c r="B21" s="239">
        <v>0</v>
      </c>
      <c r="C21" s="239">
        <v>0</v>
      </c>
      <c r="D21" s="239">
        <v>12.302207000000001</v>
      </c>
      <c r="E21" s="239">
        <v>-17.87162</v>
      </c>
      <c r="F21" s="239">
        <v>-17.959156</v>
      </c>
    </row>
    <row r="22" spans="1:7">
      <c r="A22" s="57" t="s">
        <v>217</v>
      </c>
      <c r="B22" s="239">
        <v>0</v>
      </c>
      <c r="C22" s="239">
        <v>11066.565094</v>
      </c>
      <c r="D22" s="239">
        <v>8022.5335379999997</v>
      </c>
      <c r="E22" s="239">
        <v>9115.3997819999986</v>
      </c>
      <c r="F22" s="239">
        <v>4342.5846030000002</v>
      </c>
    </row>
    <row r="23" spans="1:7">
      <c r="A23" s="57" t="s">
        <v>218</v>
      </c>
    </row>
    <row r="24" spans="1:7">
      <c r="A24" s="57" t="s">
        <v>219</v>
      </c>
    </row>
    <row r="25" spans="1:7">
      <c r="A25" s="60" t="s">
        <v>220</v>
      </c>
      <c r="B25" s="70">
        <f>B5-SUM(B8:B14)+SUM(B17:B24)</f>
        <v>17848.542141999991</v>
      </c>
      <c r="C25" s="70">
        <f>C5-SUM(C8:C14)+SUM(C17:C24)</f>
        <v>18145.040878999989</v>
      </c>
      <c r="D25" s="70">
        <f>D5-SUM(D8:D14)+SUM(D17:D24)</f>
        <v>18583.409423999987</v>
      </c>
      <c r="E25" s="70">
        <f>E5-SUM(E8:E14)+SUM(E17:E24)</f>
        <v>23894.761295999986</v>
      </c>
      <c r="F25" s="70">
        <f>F5-SUM(F8:F14)+SUM(F17:F24)</f>
        <v>394.58909899999344</v>
      </c>
      <c r="G25" s="61"/>
    </row>
    <row r="26" spans="1:7">
      <c r="A26" s="57" t="s">
        <v>221</v>
      </c>
      <c r="B26" s="239">
        <v>8173.5193730000001</v>
      </c>
      <c r="C26" s="239">
        <v>173.49491599999999</v>
      </c>
      <c r="D26" s="239">
        <v>104.99493999999999</v>
      </c>
      <c r="E26" s="239">
        <v>116.144631</v>
      </c>
      <c r="F26" s="239">
        <v>84.096214000000003</v>
      </c>
    </row>
    <row r="27" spans="1:7">
      <c r="A27" s="57" t="s">
        <v>222</v>
      </c>
      <c r="B27" s="239">
        <v>152.18436200000002</v>
      </c>
      <c r="C27" s="239">
        <v>56.876424999999998</v>
      </c>
      <c r="D27" s="239">
        <v>81.515039000000002</v>
      </c>
      <c r="E27" s="239">
        <v>399.507947</v>
      </c>
      <c r="F27" s="239">
        <v>117.52618899999999</v>
      </c>
    </row>
    <row r="28" spans="1:7">
      <c r="A28" s="57" t="s">
        <v>223</v>
      </c>
    </row>
    <row r="29" spans="1:7">
      <c r="A29" s="57" t="s">
        <v>224</v>
      </c>
    </row>
    <row r="30" spans="1:7">
      <c r="A30" s="57" t="s">
        <v>225</v>
      </c>
    </row>
    <row r="31" spans="1:7">
      <c r="A31" s="60" t="s">
        <v>226</v>
      </c>
      <c r="B31" s="70">
        <f>B25+B26-B27</f>
        <v>25869.87715299999</v>
      </c>
      <c r="C31" s="70">
        <f>C25+C26-C27</f>
        <v>18261.65936999999</v>
      </c>
      <c r="D31" s="70">
        <f>D25+D26-D27</f>
        <v>18606.889324999986</v>
      </c>
      <c r="E31" s="70">
        <f>E25+E26-E27</f>
        <v>23611.397979999987</v>
      </c>
      <c r="F31" s="70">
        <f>F25+F26-F27</f>
        <v>361.15912399999348</v>
      </c>
      <c r="G31" s="61"/>
    </row>
    <row r="32" spans="1:7">
      <c r="A32" s="57" t="s">
        <v>227</v>
      </c>
      <c r="B32" s="239">
        <v>3872.8211850000002</v>
      </c>
      <c r="C32" s="239">
        <v>2997.0276140000001</v>
      </c>
      <c r="D32" s="239">
        <v>1859.8436940000001</v>
      </c>
      <c r="E32" s="239">
        <v>982.53606400000001</v>
      </c>
      <c r="F32" s="239">
        <v>1166.1742160000001</v>
      </c>
    </row>
    <row r="33" spans="1:7">
      <c r="A33" s="57" t="s">
        <v>228</v>
      </c>
    </row>
    <row r="34" spans="1:7">
      <c r="A34" s="57" t="s">
        <v>229</v>
      </c>
    </row>
    <row r="35" spans="1:7">
      <c r="A35" s="57" t="s">
        <v>230</v>
      </c>
    </row>
    <row r="36" spans="1:7">
      <c r="A36" s="60" t="s">
        <v>231</v>
      </c>
      <c r="B36" s="70">
        <f t="shared" ref="B36:E36" si="0">B31-B32</f>
        <v>21997.05596799999</v>
      </c>
      <c r="C36" s="70">
        <f t="shared" si="0"/>
        <v>15264.63175599999</v>
      </c>
      <c r="D36" s="70">
        <f t="shared" si="0"/>
        <v>16747.045630999986</v>
      </c>
      <c r="E36" s="70">
        <f t="shared" si="0"/>
        <v>22628.861915999987</v>
      </c>
      <c r="F36" s="70">
        <f t="shared" ref="F36" si="1">F31-F32</f>
        <v>-805.01509200000669</v>
      </c>
      <c r="G36" s="61"/>
    </row>
    <row r="37" spans="1:7">
      <c r="A37" s="57" t="s">
        <v>232</v>
      </c>
    </row>
    <row r="38" spans="1:7">
      <c r="A38" s="57" t="s">
        <v>233</v>
      </c>
    </row>
    <row r="39" spans="1:7">
      <c r="A39" s="57" t="s">
        <v>234</v>
      </c>
    </row>
    <row r="40" spans="1:7">
      <c r="A40" s="57" t="s">
        <v>235</v>
      </c>
    </row>
    <row r="41" spans="1:7">
      <c r="A41" s="57" t="s">
        <v>236</v>
      </c>
    </row>
    <row r="42" spans="1:7">
      <c r="A42" s="60" t="s">
        <v>237</v>
      </c>
      <c r="B42" s="246"/>
    </row>
    <row r="43" spans="1:7">
      <c r="A43" s="57" t="s">
        <v>238</v>
      </c>
    </row>
    <row r="44" spans="1:7">
      <c r="A44" s="57" t="s">
        <v>239</v>
      </c>
    </row>
    <row r="45" spans="1:7">
      <c r="A45" s="60" t="s">
        <v>240</v>
      </c>
      <c r="B45" s="246"/>
      <c r="C45" s="104"/>
      <c r="D45" s="104"/>
      <c r="F45" s="104"/>
    </row>
    <row r="46" spans="1:7">
      <c r="A46" s="57" t="s">
        <v>241</v>
      </c>
    </row>
    <row r="47" spans="1:7">
      <c r="A47" s="57" t="s">
        <v>242</v>
      </c>
    </row>
    <row r="48" spans="1:7">
      <c r="A48" s="57" t="s">
        <v>199</v>
      </c>
    </row>
    <row r="50" spans="1:1">
      <c r="A50" s="57" t="s">
        <v>381</v>
      </c>
    </row>
    <row r="51" spans="1:1">
      <c r="A51" s="57" t="s">
        <v>382</v>
      </c>
    </row>
    <row r="52" spans="1:1">
      <c r="A52" s="57" t="s">
        <v>383</v>
      </c>
    </row>
  </sheetData>
  <phoneticPr fontId="2" type="noConversion"/>
  <conditionalFormatting sqref="B7:F8">
    <cfRule type="cellIs" dxfId="152" priority="11" stopIfTrue="1" operator="lessThan">
      <formula>0</formula>
    </cfRule>
  </conditionalFormatting>
  <conditionalFormatting sqref="B9:F13">
    <cfRule type="cellIs" dxfId="151" priority="10" stopIfTrue="1" operator="lessThan">
      <formula>0</formula>
    </cfRule>
  </conditionalFormatting>
  <conditionalFormatting sqref="B15:F15">
    <cfRule type="cellIs" dxfId="150" priority="9" stopIfTrue="1" operator="lessThan">
      <formula>0</formula>
    </cfRule>
  </conditionalFormatting>
  <conditionalFormatting sqref="B14:F14">
    <cfRule type="cellIs" dxfId="149" priority="8" stopIfTrue="1" operator="lessThan">
      <formula>0</formula>
    </cfRule>
  </conditionalFormatting>
  <conditionalFormatting sqref="B17:F17">
    <cfRule type="cellIs" dxfId="148" priority="7" stopIfTrue="1" operator="lessThan">
      <formula>0</formula>
    </cfRule>
  </conditionalFormatting>
  <conditionalFormatting sqref="B18:F18">
    <cfRule type="cellIs" dxfId="147" priority="6" stopIfTrue="1" operator="lessThan">
      <formula>0</formula>
    </cfRule>
  </conditionalFormatting>
  <conditionalFormatting sqref="B21:F21">
    <cfRule type="cellIs" dxfId="146" priority="5" stopIfTrue="1" operator="lessThan">
      <formula>0</formula>
    </cfRule>
  </conditionalFormatting>
  <conditionalFormatting sqref="B22:F22">
    <cfRule type="cellIs" dxfId="145" priority="4" stopIfTrue="1" operator="lessThan">
      <formula>0</formula>
    </cfRule>
  </conditionalFormatting>
  <conditionalFormatting sqref="B26:F26">
    <cfRule type="cellIs" dxfId="144" priority="3" stopIfTrue="1" operator="lessThan">
      <formula>0</formula>
    </cfRule>
  </conditionalFormatting>
  <conditionalFormatting sqref="B27:F27">
    <cfRule type="cellIs" dxfId="143" priority="2" stopIfTrue="1" operator="lessThan">
      <formula>0</formula>
    </cfRule>
  </conditionalFormatting>
  <conditionalFormatting sqref="B32:F32">
    <cfRule type="cellIs" dxfId="142" priority="1" stopIfTrue="1" operator="lessThan">
      <formula>0</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113"/>
  <sheetViews>
    <sheetView zoomScaleNormal="100" workbookViewId="0">
      <selection sqref="A1:XFD1048576"/>
    </sheetView>
  </sheetViews>
  <sheetFormatPr defaultRowHeight="13"/>
  <cols>
    <col min="1" max="1" width="29.6328125" style="57" bestFit="1" customWidth="1"/>
    <col min="2" max="2" width="15.08984375" style="59" customWidth="1"/>
    <col min="3" max="4" width="14.08984375" style="59" bestFit="1" customWidth="1"/>
    <col min="5" max="5" width="15" style="59" bestFit="1" customWidth="1"/>
    <col min="6" max="6" width="14.08984375" style="59" bestFit="1" customWidth="1"/>
    <col min="7" max="7" width="15" style="57" bestFit="1" customWidth="1"/>
    <col min="8" max="8" width="15" style="57" customWidth="1"/>
    <col min="9" max="9" width="11.90625" style="57" customWidth="1"/>
    <col min="10" max="10" width="15.36328125" style="57" customWidth="1"/>
    <col min="11" max="11" width="8" style="57" customWidth="1"/>
    <col min="12" max="14" width="10.26953125" style="57" bestFit="1" customWidth="1"/>
    <col min="15" max="15" width="13.453125" style="57" bestFit="1" customWidth="1"/>
    <col min="16" max="16" width="9.6328125" style="57" bestFit="1" customWidth="1"/>
    <col min="17" max="259" width="9" style="57"/>
    <col min="260" max="260" width="34.08984375" style="57" bestFit="1" customWidth="1"/>
    <col min="261" max="265" width="16.08984375" style="57" bestFit="1" customWidth="1"/>
    <col min="266" max="515" width="9" style="57"/>
    <col min="516" max="516" width="34.08984375" style="57" bestFit="1" customWidth="1"/>
    <col min="517" max="521" width="16.08984375" style="57" bestFit="1" customWidth="1"/>
    <col min="522" max="771" width="9" style="57"/>
    <col min="772" max="772" width="34.08984375" style="57" bestFit="1" customWidth="1"/>
    <col min="773" max="777" width="16.08984375" style="57" bestFit="1" customWidth="1"/>
    <col min="778" max="1027" width="9" style="57"/>
    <col min="1028" max="1028" width="34.08984375" style="57" bestFit="1" customWidth="1"/>
    <col min="1029" max="1033" width="16.08984375" style="57" bestFit="1" customWidth="1"/>
    <col min="1034" max="1283" width="9" style="57"/>
    <col min="1284" max="1284" width="34.08984375" style="57" bestFit="1" customWidth="1"/>
    <col min="1285" max="1289" width="16.08984375" style="57" bestFit="1" customWidth="1"/>
    <col min="1290" max="1539" width="9" style="57"/>
    <col min="1540" max="1540" width="34.08984375" style="57" bestFit="1" customWidth="1"/>
    <col min="1541" max="1545" width="16.08984375" style="57" bestFit="1" customWidth="1"/>
    <col min="1546" max="1795" width="9" style="57"/>
    <col min="1796" max="1796" width="34.08984375" style="57" bestFit="1" customWidth="1"/>
    <col min="1797" max="1801" width="16.08984375" style="57" bestFit="1" customWidth="1"/>
    <col min="1802" max="2051" width="9" style="57"/>
    <col min="2052" max="2052" width="34.08984375" style="57" bestFit="1" customWidth="1"/>
    <col min="2053" max="2057" width="16.08984375" style="57" bestFit="1" customWidth="1"/>
    <col min="2058" max="2307" width="9" style="57"/>
    <col min="2308" max="2308" width="34.08984375" style="57" bestFit="1" customWidth="1"/>
    <col min="2309" max="2313" width="16.08984375" style="57" bestFit="1" customWidth="1"/>
    <col min="2314" max="2563" width="9" style="57"/>
    <col min="2564" max="2564" width="34.08984375" style="57" bestFit="1" customWidth="1"/>
    <col min="2565" max="2569" width="16.08984375" style="57" bestFit="1" customWidth="1"/>
    <col min="2570" max="2819" width="9" style="57"/>
    <col min="2820" max="2820" width="34.08984375" style="57" bestFit="1" customWidth="1"/>
    <col min="2821" max="2825" width="16.08984375" style="57" bestFit="1" customWidth="1"/>
    <col min="2826" max="3075" width="9" style="57"/>
    <col min="3076" max="3076" width="34.08984375" style="57" bestFit="1" customWidth="1"/>
    <col min="3077" max="3081" width="16.08984375" style="57" bestFit="1" customWidth="1"/>
    <col min="3082" max="3331" width="9" style="57"/>
    <col min="3332" max="3332" width="34.08984375" style="57" bestFit="1" customWidth="1"/>
    <col min="3333" max="3337" width="16.08984375" style="57" bestFit="1" customWidth="1"/>
    <col min="3338" max="3587" width="9" style="57"/>
    <col min="3588" max="3588" width="34.08984375" style="57" bestFit="1" customWidth="1"/>
    <col min="3589" max="3593" width="16.08984375" style="57" bestFit="1" customWidth="1"/>
    <col min="3594" max="3843" width="9" style="57"/>
    <col min="3844" max="3844" width="34.08984375" style="57" bestFit="1" customWidth="1"/>
    <col min="3845" max="3849" width="16.08984375" style="57" bestFit="1" customWidth="1"/>
    <col min="3850" max="4099" width="9" style="57"/>
    <col min="4100" max="4100" width="34.08984375" style="57" bestFit="1" customWidth="1"/>
    <col min="4101" max="4105" width="16.08984375" style="57" bestFit="1" customWidth="1"/>
    <col min="4106" max="4355" width="9" style="57"/>
    <col min="4356" max="4356" width="34.08984375" style="57" bestFit="1" customWidth="1"/>
    <col min="4357" max="4361" width="16.08984375" style="57" bestFit="1" customWidth="1"/>
    <col min="4362" max="4611" width="9" style="57"/>
    <col min="4612" max="4612" width="34.08984375" style="57" bestFit="1" customWidth="1"/>
    <col min="4613" max="4617" width="16.08984375" style="57" bestFit="1" customWidth="1"/>
    <col min="4618" max="4867" width="9" style="57"/>
    <col min="4868" max="4868" width="34.08984375" style="57" bestFit="1" customWidth="1"/>
    <col min="4869" max="4873" width="16.08984375" style="57" bestFit="1" customWidth="1"/>
    <col min="4874" max="5123" width="9" style="57"/>
    <col min="5124" max="5124" width="34.08984375" style="57" bestFit="1" customWidth="1"/>
    <col min="5125" max="5129" width="16.08984375" style="57" bestFit="1" customWidth="1"/>
    <col min="5130" max="5379" width="9" style="57"/>
    <col min="5380" max="5380" width="34.08984375" style="57" bestFit="1" customWidth="1"/>
    <col min="5381" max="5385" width="16.08984375" style="57" bestFit="1" customWidth="1"/>
    <col min="5386" max="5635" width="9" style="57"/>
    <col min="5636" max="5636" width="34.08984375" style="57" bestFit="1" customWidth="1"/>
    <col min="5637" max="5641" width="16.08984375" style="57" bestFit="1" customWidth="1"/>
    <col min="5642" max="5891" width="9" style="57"/>
    <col min="5892" max="5892" width="34.08984375" style="57" bestFit="1" customWidth="1"/>
    <col min="5893" max="5897" width="16.08984375" style="57" bestFit="1" customWidth="1"/>
    <col min="5898" max="6147" width="9" style="57"/>
    <col min="6148" max="6148" width="34.08984375" style="57" bestFit="1" customWidth="1"/>
    <col min="6149" max="6153" width="16.08984375" style="57" bestFit="1" customWidth="1"/>
    <col min="6154" max="6403" width="9" style="57"/>
    <col min="6404" max="6404" width="34.08984375" style="57" bestFit="1" customWidth="1"/>
    <col min="6405" max="6409" width="16.08984375" style="57" bestFit="1" customWidth="1"/>
    <col min="6410" max="6659" width="9" style="57"/>
    <col min="6660" max="6660" width="34.08984375" style="57" bestFit="1" customWidth="1"/>
    <col min="6661" max="6665" width="16.08984375" style="57" bestFit="1" customWidth="1"/>
    <col min="6666" max="6915" width="9" style="57"/>
    <col min="6916" max="6916" width="34.08984375" style="57" bestFit="1" customWidth="1"/>
    <col min="6917" max="6921" width="16.08984375" style="57" bestFit="1" customWidth="1"/>
    <col min="6922" max="7171" width="9" style="57"/>
    <col min="7172" max="7172" width="34.08984375" style="57" bestFit="1" customWidth="1"/>
    <col min="7173" max="7177" width="16.08984375" style="57" bestFit="1" customWidth="1"/>
    <col min="7178" max="7427" width="9" style="57"/>
    <col min="7428" max="7428" width="34.08984375" style="57" bestFit="1" customWidth="1"/>
    <col min="7429" max="7433" width="16.08984375" style="57" bestFit="1" customWidth="1"/>
    <col min="7434" max="7683" width="9" style="57"/>
    <col min="7684" max="7684" width="34.08984375" style="57" bestFit="1" customWidth="1"/>
    <col min="7685" max="7689" width="16.08984375" style="57" bestFit="1" customWidth="1"/>
    <col min="7690" max="7939" width="9" style="57"/>
    <col min="7940" max="7940" width="34.08984375" style="57" bestFit="1" customWidth="1"/>
    <col min="7941" max="7945" width="16.08984375" style="57" bestFit="1" customWidth="1"/>
    <col min="7946" max="8195" width="9" style="57"/>
    <col min="8196" max="8196" width="34.08984375" style="57" bestFit="1" customWidth="1"/>
    <col min="8197" max="8201" width="16.08984375" style="57" bestFit="1" customWidth="1"/>
    <col min="8202" max="8451" width="9" style="57"/>
    <col min="8452" max="8452" width="34.08984375" style="57" bestFit="1" customWidth="1"/>
    <col min="8453" max="8457" width="16.08984375" style="57" bestFit="1" customWidth="1"/>
    <col min="8458" max="8707" width="9" style="57"/>
    <col min="8708" max="8708" width="34.08984375" style="57" bestFit="1" customWidth="1"/>
    <col min="8709" max="8713" width="16.08984375" style="57" bestFit="1" customWidth="1"/>
    <col min="8714" max="8963" width="9" style="57"/>
    <col min="8964" max="8964" width="34.08984375" style="57" bestFit="1" customWidth="1"/>
    <col min="8965" max="8969" width="16.08984375" style="57" bestFit="1" customWidth="1"/>
    <col min="8970" max="9219" width="9" style="57"/>
    <col min="9220" max="9220" width="34.08984375" style="57" bestFit="1" customWidth="1"/>
    <col min="9221" max="9225" width="16.08984375" style="57" bestFit="1" customWidth="1"/>
    <col min="9226" max="9475" width="9" style="57"/>
    <col min="9476" max="9476" width="34.08984375" style="57" bestFit="1" customWidth="1"/>
    <col min="9477" max="9481" width="16.08984375" style="57" bestFit="1" customWidth="1"/>
    <col min="9482" max="9731" width="9" style="57"/>
    <col min="9732" max="9732" width="34.08984375" style="57" bestFit="1" customWidth="1"/>
    <col min="9733" max="9737" width="16.08984375" style="57" bestFit="1" customWidth="1"/>
    <col min="9738" max="9987" width="9" style="57"/>
    <col min="9988" max="9988" width="34.08984375" style="57" bestFit="1" customWidth="1"/>
    <col min="9989" max="9993" width="16.08984375" style="57" bestFit="1" customWidth="1"/>
    <col min="9994" max="10243" width="9" style="57"/>
    <col min="10244" max="10244" width="34.08984375" style="57" bestFit="1" customWidth="1"/>
    <col min="10245" max="10249" width="16.08984375" style="57" bestFit="1" customWidth="1"/>
    <col min="10250" max="10499" width="9" style="57"/>
    <col min="10500" max="10500" width="34.08984375" style="57" bestFit="1" customWidth="1"/>
    <col min="10501" max="10505" width="16.08984375" style="57" bestFit="1" customWidth="1"/>
    <col min="10506" max="10755" width="9" style="57"/>
    <col min="10756" max="10756" width="34.08984375" style="57" bestFit="1" customWidth="1"/>
    <col min="10757" max="10761" width="16.08984375" style="57" bestFit="1" customWidth="1"/>
    <col min="10762" max="11011" width="9" style="57"/>
    <col min="11012" max="11012" width="34.08984375" style="57" bestFit="1" customWidth="1"/>
    <col min="11013" max="11017" width="16.08984375" style="57" bestFit="1" customWidth="1"/>
    <col min="11018" max="11267" width="9" style="57"/>
    <col min="11268" max="11268" width="34.08984375" style="57" bestFit="1" customWidth="1"/>
    <col min="11269" max="11273" width="16.08984375" style="57" bestFit="1" customWidth="1"/>
    <col min="11274" max="11523" width="9" style="57"/>
    <col min="11524" max="11524" width="34.08984375" style="57" bestFit="1" customWidth="1"/>
    <col min="11525" max="11529" width="16.08984375" style="57" bestFit="1" customWidth="1"/>
    <col min="11530" max="11779" width="9" style="57"/>
    <col min="11780" max="11780" width="34.08984375" style="57" bestFit="1" customWidth="1"/>
    <col min="11781" max="11785" width="16.08984375" style="57" bestFit="1" customWidth="1"/>
    <col min="11786" max="12035" width="9" style="57"/>
    <col min="12036" max="12036" width="34.08984375" style="57" bestFit="1" customWidth="1"/>
    <col min="12037" max="12041" width="16.08984375" style="57" bestFit="1" customWidth="1"/>
    <col min="12042" max="12291" width="9" style="57"/>
    <col min="12292" max="12292" width="34.08984375" style="57" bestFit="1" customWidth="1"/>
    <col min="12293" max="12297" width="16.08984375" style="57" bestFit="1" customWidth="1"/>
    <col min="12298" max="12547" width="9" style="57"/>
    <col min="12548" max="12548" width="34.08984375" style="57" bestFit="1" customWidth="1"/>
    <col min="12549" max="12553" width="16.08984375" style="57" bestFit="1" customWidth="1"/>
    <col min="12554" max="12803" width="9" style="57"/>
    <col min="12804" max="12804" width="34.08984375" style="57" bestFit="1" customWidth="1"/>
    <col min="12805" max="12809" width="16.08984375" style="57" bestFit="1" customWidth="1"/>
    <col min="12810" max="13059" width="9" style="57"/>
    <col min="13060" max="13060" width="34.08984375" style="57" bestFit="1" customWidth="1"/>
    <col min="13061" max="13065" width="16.08984375" style="57" bestFit="1" customWidth="1"/>
    <col min="13066" max="13315" width="9" style="57"/>
    <col min="13316" max="13316" width="34.08984375" style="57" bestFit="1" customWidth="1"/>
    <col min="13317" max="13321" width="16.08984375" style="57" bestFit="1" customWidth="1"/>
    <col min="13322" max="13571" width="9" style="57"/>
    <col min="13572" max="13572" width="34.08984375" style="57" bestFit="1" customWidth="1"/>
    <col min="13573" max="13577" width="16.08984375" style="57" bestFit="1" customWidth="1"/>
    <col min="13578" max="13827" width="9" style="57"/>
    <col min="13828" max="13828" width="34.08984375" style="57" bestFit="1" customWidth="1"/>
    <col min="13829" max="13833" width="16.08984375" style="57" bestFit="1" customWidth="1"/>
    <col min="13834" max="14083" width="9" style="57"/>
    <col min="14084" max="14084" width="34.08984375" style="57" bestFit="1" customWidth="1"/>
    <col min="14085" max="14089" width="16.08984375" style="57" bestFit="1" customWidth="1"/>
    <col min="14090" max="14339" width="9" style="57"/>
    <col min="14340" max="14340" width="34.08984375" style="57" bestFit="1" customWidth="1"/>
    <col min="14341" max="14345" width="16.08984375" style="57" bestFit="1" customWidth="1"/>
    <col min="14346" max="14595" width="9" style="57"/>
    <col min="14596" max="14596" width="34.08984375" style="57" bestFit="1" customWidth="1"/>
    <col min="14597" max="14601" width="16.08984375" style="57" bestFit="1" customWidth="1"/>
    <col min="14602" max="14851" width="9" style="57"/>
    <col min="14852" max="14852" width="34.08984375" style="57" bestFit="1" customWidth="1"/>
    <col min="14853" max="14857" width="16.08984375" style="57" bestFit="1" customWidth="1"/>
    <col min="14858" max="15107" width="9" style="57"/>
    <col min="15108" max="15108" width="34.08984375" style="57" bestFit="1" customWidth="1"/>
    <col min="15109" max="15113" width="16.08984375" style="57" bestFit="1" customWidth="1"/>
    <col min="15114" max="15363" width="9" style="57"/>
    <col min="15364" max="15364" width="34.08984375" style="57" bestFit="1" customWidth="1"/>
    <col min="15365" max="15369" width="16.08984375" style="57" bestFit="1" customWidth="1"/>
    <col min="15370" max="15619" width="9" style="57"/>
    <col min="15620" max="15620" width="34.08984375" style="57" bestFit="1" customWidth="1"/>
    <col min="15621" max="15625" width="16.08984375" style="57" bestFit="1" customWidth="1"/>
    <col min="15626" max="15875" width="9" style="57"/>
    <col min="15876" max="15876" width="34.08984375" style="57" bestFit="1" customWidth="1"/>
    <col min="15877" max="15881" width="16.08984375" style="57" bestFit="1" customWidth="1"/>
    <col min="15882" max="16131" width="9" style="57"/>
    <col min="16132" max="16132" width="34.08984375" style="57" bestFit="1" customWidth="1"/>
    <col min="16133" max="16137" width="16.08984375" style="57" bestFit="1" customWidth="1"/>
    <col min="16138" max="16384" width="9" style="57"/>
  </cols>
  <sheetData>
    <row r="1" spans="1:18">
      <c r="A1" s="57" t="s">
        <v>267</v>
      </c>
      <c r="B1" s="242" t="str">
        <f>绿盟科技BS!B1</f>
        <v>2016-12-31</v>
      </c>
      <c r="C1" s="242" t="e">
        <f>绿盟科技BS!C1</f>
        <v>#REF!</v>
      </c>
      <c r="D1" s="242" t="e">
        <f>绿盟科技BS!D1</f>
        <v>#REF!</v>
      </c>
      <c r="E1" s="242" t="e">
        <f>绿盟科技BS!E1</f>
        <v>#REF!</v>
      </c>
      <c r="F1" s="242" t="e">
        <f>绿盟科技BS!F1</f>
        <v>#REF!</v>
      </c>
      <c r="G1" s="227" t="s">
        <v>741</v>
      </c>
      <c r="H1" s="227" t="s">
        <v>742</v>
      </c>
      <c r="I1" s="58"/>
      <c r="J1" s="62"/>
      <c r="K1" s="63" t="e">
        <f>C1</f>
        <v>#REF!</v>
      </c>
      <c r="L1" s="63" t="e">
        <f>D1</f>
        <v>#REF!</v>
      </c>
      <c r="M1" s="63" t="e">
        <f>E1</f>
        <v>#REF!</v>
      </c>
      <c r="N1" s="63" t="e">
        <f>F1</f>
        <v>#REF!</v>
      </c>
      <c r="O1" s="63" t="s">
        <v>420</v>
      </c>
      <c r="P1" s="62" t="s">
        <v>253</v>
      </c>
    </row>
    <row r="2" spans="1:18">
      <c r="A2" s="57" t="s">
        <v>92</v>
      </c>
      <c r="B2" s="242" t="str">
        <f>绿盟科技BS!B2</f>
        <v>年报</v>
      </c>
      <c r="C2" s="242" t="str">
        <f>绿盟科技BS!C2</f>
        <v>年报</v>
      </c>
      <c r="D2" s="242" t="str">
        <f>绿盟科技BS!D2</f>
        <v>年报</v>
      </c>
      <c r="E2" s="242" t="str">
        <f>绿盟科技BS!E2</f>
        <v>年报</v>
      </c>
      <c r="F2" s="242" t="str">
        <f>绿盟科技BS!F2</f>
        <v>三季报</v>
      </c>
      <c r="G2" s="58"/>
      <c r="H2" s="58"/>
      <c r="I2" s="58"/>
      <c r="J2" s="62" t="s">
        <v>252</v>
      </c>
      <c r="K2" s="64" t="e">
        <f>#REF!/(B106+C106)*2</f>
        <v>#REF!</v>
      </c>
      <c r="L2" s="64" t="e">
        <f>#REF!/(C106+D106)*2</f>
        <v>#REF!</v>
      </c>
      <c r="M2" s="64" t="e">
        <f>#REF!/(D106+E106)*2</f>
        <v>#REF!</v>
      </c>
      <c r="N2" s="64"/>
      <c r="O2" s="64"/>
      <c r="P2" s="64" t="e">
        <f>AVERAGE(K2:M2,O2)</f>
        <v>#REF!</v>
      </c>
    </row>
    <row r="3" spans="1:18">
      <c r="A3" s="57" t="s">
        <v>57</v>
      </c>
      <c r="B3" s="242" t="str">
        <f>绿盟科技BS!B3</f>
        <v>合并报表</v>
      </c>
      <c r="C3" s="242" t="str">
        <f>绿盟科技BS!C3</f>
        <v>合并报表</v>
      </c>
      <c r="D3" s="242" t="str">
        <f>绿盟科技BS!D3</f>
        <v>合并报表</v>
      </c>
      <c r="E3" s="242" t="str">
        <f>绿盟科技BS!E3</f>
        <v>合并报表</v>
      </c>
      <c r="F3" s="242" t="str">
        <f>绿盟科技BS!F3</f>
        <v>合并报表</v>
      </c>
      <c r="G3" s="58"/>
      <c r="H3" s="58"/>
      <c r="I3" s="58"/>
      <c r="J3" s="62" t="s">
        <v>254</v>
      </c>
      <c r="K3" s="64" t="e">
        <f>(#REF!+#REF!)/(B49+C49)*2</f>
        <v>#REF!</v>
      </c>
      <c r="L3" s="64" t="e">
        <f>(#REF!+#REF!)/(C49+D49)*2</f>
        <v>#REF!</v>
      </c>
      <c r="M3" s="64" t="e">
        <f>(#REF!+#REF!)/(D49+E49)*2</f>
        <v>#REF!</v>
      </c>
      <c r="N3" s="64"/>
      <c r="O3" s="64"/>
      <c r="P3" s="64" t="e">
        <f t="shared" ref="P3:P4" si="0">AVERAGE(K3:M3,O3)</f>
        <v>#REF!</v>
      </c>
    </row>
    <row r="4" spans="1:18">
      <c r="A4" s="60" t="s">
        <v>96</v>
      </c>
      <c r="B4" s="227" t="s">
        <v>49</v>
      </c>
      <c r="C4" s="227" t="s">
        <v>49</v>
      </c>
      <c r="D4" s="227" t="s">
        <v>49</v>
      </c>
      <c r="E4" s="227" t="s">
        <v>49</v>
      </c>
      <c r="F4" s="227" t="s">
        <v>49</v>
      </c>
      <c r="G4" s="58"/>
      <c r="H4" s="58"/>
      <c r="I4" s="58"/>
      <c r="J4" s="62" t="s">
        <v>255</v>
      </c>
      <c r="K4" s="65" t="e">
        <f>#REF!</f>
        <v>#REF!</v>
      </c>
      <c r="L4" s="65" t="e">
        <f>#REF!</f>
        <v>#REF!</v>
      </c>
      <c r="M4" s="65" t="e">
        <f>#REF!</f>
        <v>#REF!</v>
      </c>
      <c r="N4" s="65"/>
      <c r="O4" s="65"/>
      <c r="P4" s="65" t="e">
        <f t="shared" si="0"/>
        <v>#REF!</v>
      </c>
    </row>
    <row r="5" spans="1:18">
      <c r="A5" s="57" t="s">
        <v>97</v>
      </c>
      <c r="B5" s="239">
        <v>52221.812851999995</v>
      </c>
      <c r="C5" s="239">
        <v>59637.920207000003</v>
      </c>
      <c r="D5" s="239">
        <v>67162.917052999997</v>
      </c>
      <c r="E5" s="239">
        <v>163032.40149000002</v>
      </c>
      <c r="F5" s="239">
        <v>89496.402375999998</v>
      </c>
      <c r="G5" s="61"/>
      <c r="H5" s="61"/>
      <c r="I5" s="61"/>
      <c r="J5" s="62"/>
      <c r="K5" s="62"/>
      <c r="L5" s="62"/>
      <c r="M5" s="62"/>
      <c r="N5" s="62"/>
      <c r="O5" s="62"/>
      <c r="P5" s="62"/>
    </row>
    <row r="6" spans="1:18">
      <c r="A6" s="57" t="s">
        <v>98</v>
      </c>
      <c r="B6" s="239">
        <v>0</v>
      </c>
      <c r="C6" s="239">
        <v>0</v>
      </c>
      <c r="D6" s="239">
        <v>0</v>
      </c>
      <c r="E6" s="239">
        <v>95273.408922999995</v>
      </c>
      <c r="F6" s="239">
        <v>149992.83311800001</v>
      </c>
      <c r="G6" s="61">
        <f>F6</f>
        <v>149992.83311800001</v>
      </c>
      <c r="H6" s="61" t="s">
        <v>749</v>
      </c>
      <c r="I6" s="61"/>
      <c r="J6" s="56" t="s">
        <v>257</v>
      </c>
      <c r="K6" s="38" t="e">
        <f>#REF!/(B49+C49)*2</f>
        <v>#REF!</v>
      </c>
      <c r="L6" s="38" t="e">
        <f>#REF!/(C49+D49)*2</f>
        <v>#REF!</v>
      </c>
      <c r="M6" s="38" t="e">
        <f>#REF!/(D49+E49)*2</f>
        <v>#REF!</v>
      </c>
      <c r="N6" s="38"/>
      <c r="O6" s="38"/>
      <c r="P6" s="38" t="e">
        <f t="shared" ref="P6:P8" si="1">AVERAGE(K6:M6,O6)</f>
        <v>#REF!</v>
      </c>
    </row>
    <row r="7" spans="1:18">
      <c r="A7" s="57" t="s">
        <v>99</v>
      </c>
      <c r="B7" s="248"/>
      <c r="C7" s="248"/>
      <c r="D7" s="248"/>
      <c r="E7" s="248"/>
      <c r="F7" s="248"/>
      <c r="G7" s="61"/>
      <c r="H7" s="61"/>
      <c r="I7" s="61"/>
      <c r="J7" s="56" t="s">
        <v>244</v>
      </c>
      <c r="K7" s="38" t="e">
        <f>#REF!/(B24+C24)*2</f>
        <v>#REF!</v>
      </c>
      <c r="L7" s="38" t="e">
        <f>#REF!/(C24+D24)*2</f>
        <v>#REF!</v>
      </c>
      <c r="M7" s="38" t="e">
        <f>#REF!/(D24+E24)*2</f>
        <v>#REF!</v>
      </c>
      <c r="N7" s="38"/>
      <c r="O7" s="38"/>
      <c r="P7" s="38" t="e">
        <f t="shared" si="1"/>
        <v>#REF!</v>
      </c>
    </row>
    <row r="8" spans="1:18">
      <c r="A8" s="57" t="s">
        <v>100</v>
      </c>
      <c r="B8" s="248"/>
      <c r="C8" s="248"/>
      <c r="D8" s="248"/>
      <c r="E8" s="248"/>
      <c r="F8" s="248"/>
      <c r="G8" s="61"/>
      <c r="H8" s="61"/>
      <c r="I8" s="61"/>
      <c r="J8" s="56" t="s">
        <v>245</v>
      </c>
      <c r="K8" s="66" t="e">
        <f>#REF!/(C8+B8+C9+B9+C12+B12)*2</f>
        <v>#REF!</v>
      </c>
      <c r="L8" s="66" t="e">
        <f>#REF!/(D8+C8+D9+C9+D12+C12)*2</f>
        <v>#REF!</v>
      </c>
      <c r="M8" s="66" t="e">
        <f>#REF!/(E8+D8+E9+D9+E12+D12)*2</f>
        <v>#REF!</v>
      </c>
      <c r="N8" s="66"/>
      <c r="O8" s="66"/>
      <c r="P8" s="66" t="e">
        <f t="shared" si="1"/>
        <v>#REF!</v>
      </c>
    </row>
    <row r="9" spans="1:18">
      <c r="A9" s="57" t="s">
        <v>101</v>
      </c>
      <c r="B9" s="239">
        <v>95284.505814000004</v>
      </c>
      <c r="C9" s="239">
        <v>124354.394181</v>
      </c>
      <c r="D9" s="239">
        <v>163539.95832899999</v>
      </c>
      <c r="E9" s="239">
        <v>215585.00121399999</v>
      </c>
      <c r="F9" s="239">
        <v>170398.442507</v>
      </c>
      <c r="G9" s="61"/>
      <c r="H9" s="61"/>
      <c r="I9" s="61"/>
      <c r="J9" s="62"/>
      <c r="K9" s="62"/>
      <c r="L9" s="62"/>
      <c r="M9" s="62"/>
      <c r="N9" s="62"/>
      <c r="O9" s="62"/>
      <c r="P9" s="62"/>
    </row>
    <row r="10" spans="1:18">
      <c r="A10" s="57" t="s">
        <v>102</v>
      </c>
      <c r="B10" s="239">
        <v>4097.3570529999997</v>
      </c>
      <c r="C10" s="239">
        <v>3561.5174149999998</v>
      </c>
      <c r="D10" s="239">
        <v>1771.2036679999999</v>
      </c>
      <c r="E10" s="239">
        <v>3216.8973100000003</v>
      </c>
      <c r="F10" s="239">
        <v>4054.5534899999998</v>
      </c>
      <c r="G10" s="61"/>
      <c r="H10" s="61"/>
      <c r="I10" s="61"/>
      <c r="J10" s="56" t="s">
        <v>246</v>
      </c>
      <c r="K10" s="64">
        <f>C88/C49</f>
        <v>0.25688567685946406</v>
      </c>
      <c r="L10" s="64">
        <f>D88/D49</f>
        <v>0.26054902626182191</v>
      </c>
      <c r="M10" s="64">
        <f>E88/E49</f>
        <v>0.36663718997797917</v>
      </c>
      <c r="N10" s="64"/>
      <c r="O10" s="64"/>
      <c r="P10" s="64">
        <f t="shared" ref="P10:P16" si="2">AVERAGE(K10:M10,O10)</f>
        <v>0.2946906310330884</v>
      </c>
    </row>
    <row r="11" spans="1:18" ht="14">
      <c r="A11" s="57" t="s">
        <v>103</v>
      </c>
      <c r="B11" s="248"/>
      <c r="C11" s="248"/>
      <c r="D11" s="248"/>
      <c r="E11" s="248"/>
      <c r="F11" s="248"/>
      <c r="G11" s="61"/>
      <c r="H11" s="61"/>
      <c r="I11" s="61"/>
      <c r="J11" s="56" t="s">
        <v>247</v>
      </c>
      <c r="K11" s="68"/>
      <c r="L11" s="68" t="e">
        <f>#REF!</f>
        <v>#REF!</v>
      </c>
      <c r="M11" s="68"/>
      <c r="N11" s="68"/>
      <c r="O11" s="68"/>
      <c r="P11" s="68" t="e">
        <f t="shared" si="2"/>
        <v>#REF!</v>
      </c>
      <c r="R11" s="67" t="s">
        <v>259</v>
      </c>
    </row>
    <row r="12" spans="1:18">
      <c r="A12" s="57" t="s">
        <v>104</v>
      </c>
      <c r="B12" s="239">
        <v>4933.91248</v>
      </c>
      <c r="C12" s="239">
        <v>6318.4830240000001</v>
      </c>
      <c r="D12" s="239">
        <v>8722.3772329999993</v>
      </c>
      <c r="E12" s="239">
        <v>9955.235557</v>
      </c>
      <c r="F12" s="239">
        <v>12330.342278</v>
      </c>
      <c r="G12" s="61"/>
      <c r="H12" s="61"/>
      <c r="I12" s="61"/>
      <c r="J12" s="56" t="s">
        <v>248</v>
      </c>
      <c r="K12" s="64">
        <f>(C24-C15)/C72</f>
        <v>2.1459009413010794</v>
      </c>
      <c r="L12" s="64">
        <f>(D24-D15)/D72</f>
        <v>2.298642892017833</v>
      </c>
      <c r="M12" s="64">
        <f>(E24-E15)/E72</f>
        <v>3.0154959466043927</v>
      </c>
      <c r="N12" s="64"/>
      <c r="O12" s="64"/>
      <c r="P12" s="64">
        <f t="shared" si="2"/>
        <v>2.4866799266411017</v>
      </c>
    </row>
    <row r="13" spans="1:18">
      <c r="A13" s="57" t="s">
        <v>740</v>
      </c>
      <c r="B13" s="239">
        <v>0</v>
      </c>
      <c r="C13" s="239">
        <v>0</v>
      </c>
      <c r="D13" s="239">
        <v>0</v>
      </c>
      <c r="E13" s="239">
        <v>0</v>
      </c>
      <c r="F13" s="239">
        <v>15891.335499000001</v>
      </c>
      <c r="G13" s="61"/>
      <c r="H13" s="61"/>
      <c r="I13" s="61"/>
    </row>
    <row r="14" spans="1:18">
      <c r="A14" s="57" t="s">
        <v>106</v>
      </c>
      <c r="B14" s="248"/>
      <c r="C14" s="248"/>
      <c r="D14" s="248"/>
      <c r="E14" s="248"/>
      <c r="F14" s="248"/>
      <c r="G14" s="61"/>
      <c r="H14" s="61"/>
      <c r="I14" s="61"/>
      <c r="J14" s="56" t="s">
        <v>249</v>
      </c>
      <c r="K14" s="64" t="e">
        <f>#REF!</f>
        <v>#REF!</v>
      </c>
      <c r="L14" s="64" t="e">
        <f>#REF!</f>
        <v>#REF!</v>
      </c>
      <c r="M14" s="64" t="e">
        <f>#REF!</f>
        <v>#REF!</v>
      </c>
      <c r="N14" s="64"/>
      <c r="O14" s="64"/>
      <c r="P14" s="64" t="e">
        <f t="shared" si="2"/>
        <v>#REF!</v>
      </c>
    </row>
    <row r="15" spans="1:18">
      <c r="A15" s="57" t="s">
        <v>107</v>
      </c>
      <c r="B15" s="239">
        <v>16709.885177</v>
      </c>
      <c r="C15" s="239">
        <v>17856.038843999999</v>
      </c>
      <c r="D15" s="239">
        <v>17038.085181999999</v>
      </c>
      <c r="E15" s="239">
        <v>24454.30791</v>
      </c>
      <c r="F15" s="239">
        <v>30371.611889</v>
      </c>
      <c r="G15" s="61"/>
      <c r="H15" s="61"/>
      <c r="I15" s="61"/>
      <c r="J15" s="56" t="s">
        <v>250</v>
      </c>
      <c r="K15" s="65">
        <f>C106/B106-1</f>
        <v>0.40605568402770231</v>
      </c>
      <c r="L15" s="65">
        <f>D106/C106-1</f>
        <v>0.14059700398681785</v>
      </c>
      <c r="M15" s="65">
        <f>E106/D106-1</f>
        <v>0.20540894603425941</v>
      </c>
      <c r="N15" s="65"/>
      <c r="O15" s="65"/>
      <c r="P15" s="65">
        <f t="shared" si="2"/>
        <v>0.25068721134959321</v>
      </c>
    </row>
    <row r="16" spans="1:18">
      <c r="A16" s="57" t="s">
        <v>108</v>
      </c>
      <c r="B16" s="248"/>
      <c r="C16" s="248"/>
      <c r="D16" s="248"/>
      <c r="E16" s="248"/>
      <c r="F16" s="248"/>
      <c r="G16" s="61"/>
      <c r="H16" s="61"/>
      <c r="I16" s="61"/>
      <c r="J16" s="56" t="s">
        <v>261</v>
      </c>
      <c r="K16" s="64" t="e">
        <f>#REF!</f>
        <v>#REF!</v>
      </c>
      <c r="L16" s="64" t="e">
        <f>#REF!</f>
        <v>#REF!</v>
      </c>
      <c r="M16" s="64" t="e">
        <f>#REF!</f>
        <v>#REF!</v>
      </c>
      <c r="N16" s="64"/>
      <c r="O16" s="64"/>
      <c r="P16" s="64" t="e">
        <f t="shared" si="2"/>
        <v>#REF!</v>
      </c>
    </row>
    <row r="17" spans="1:9">
      <c r="A17" s="57" t="s">
        <v>109</v>
      </c>
      <c r="B17" s="248"/>
      <c r="C17" s="248"/>
      <c r="D17" s="248"/>
      <c r="E17" s="248"/>
      <c r="F17" s="248"/>
      <c r="G17" s="61"/>
      <c r="H17" s="61"/>
      <c r="I17" s="61"/>
    </row>
    <row r="18" spans="1:9">
      <c r="A18" s="57" t="s">
        <v>110</v>
      </c>
      <c r="B18" s="248"/>
      <c r="C18" s="248"/>
      <c r="D18" s="248"/>
      <c r="E18" s="248"/>
      <c r="F18" s="248"/>
      <c r="G18" s="61"/>
      <c r="H18" s="61"/>
      <c r="I18" s="61"/>
    </row>
    <row r="19" spans="1:9">
      <c r="A19" s="57" t="s">
        <v>111</v>
      </c>
      <c r="B19" s="248"/>
      <c r="C19" s="248"/>
      <c r="D19" s="248"/>
      <c r="E19" s="248"/>
      <c r="F19" s="248"/>
      <c r="G19" s="61"/>
      <c r="H19" s="61"/>
      <c r="I19" s="61"/>
    </row>
    <row r="20" spans="1:9">
      <c r="A20" s="57" t="s">
        <v>112</v>
      </c>
      <c r="B20" s="239">
        <v>41546.474670999996</v>
      </c>
      <c r="C20" s="239">
        <v>30580.102814999998</v>
      </c>
      <c r="D20" s="239">
        <v>38882.594783</v>
      </c>
      <c r="E20" s="239">
        <v>1515.980431</v>
      </c>
      <c r="F20" s="239">
        <v>2389.1982870000002</v>
      </c>
      <c r="G20" s="61">
        <f>F20</f>
        <v>2389.1982870000002</v>
      </c>
      <c r="H20" s="61" t="s">
        <v>754</v>
      </c>
      <c r="I20" s="61"/>
    </row>
    <row r="21" spans="1:9">
      <c r="A21" s="57" t="s">
        <v>113</v>
      </c>
      <c r="B21" s="248"/>
      <c r="C21" s="248"/>
      <c r="D21" s="248"/>
      <c r="E21" s="248"/>
      <c r="F21" s="248"/>
      <c r="G21" s="61"/>
      <c r="H21" s="61"/>
      <c r="I21" s="61"/>
    </row>
    <row r="22" spans="1:9">
      <c r="A22" s="57" t="s">
        <v>114</v>
      </c>
      <c r="B22" s="248"/>
      <c r="C22" s="248"/>
      <c r="D22" s="248"/>
      <c r="E22" s="248"/>
      <c r="F22" s="248"/>
      <c r="G22" s="61"/>
      <c r="H22" s="61"/>
      <c r="I22" s="61"/>
    </row>
    <row r="23" spans="1:9">
      <c r="A23" s="57" t="s">
        <v>115</v>
      </c>
      <c r="B23" s="248"/>
      <c r="C23" s="248"/>
      <c r="D23" s="248"/>
      <c r="E23" s="248"/>
      <c r="F23" s="248"/>
      <c r="G23" s="61"/>
      <c r="H23" s="61"/>
      <c r="I23" s="61"/>
    </row>
    <row r="24" spans="1:9">
      <c r="A24" s="60" t="s">
        <v>116</v>
      </c>
      <c r="B24" s="249">
        <f t="shared" ref="B24:G24" si="3">SUM(B5:B23)</f>
        <v>214793.94804699998</v>
      </c>
      <c r="C24" s="249">
        <f t="shared" si="3"/>
        <v>242308.45648599998</v>
      </c>
      <c r="D24" s="249">
        <f t="shared" si="3"/>
        <v>297117.13624800002</v>
      </c>
      <c r="E24" s="249">
        <f t="shared" si="3"/>
        <v>513033.23283499997</v>
      </c>
      <c r="F24" s="249">
        <f t="shared" si="3"/>
        <v>474924.71944400005</v>
      </c>
      <c r="G24" s="249">
        <f t="shared" si="3"/>
        <v>152382.03140500002</v>
      </c>
      <c r="H24" s="101"/>
      <c r="I24" s="61"/>
    </row>
    <row r="25" spans="1:9">
      <c r="A25" s="60" t="s">
        <v>117</v>
      </c>
      <c r="B25" s="227" t="s">
        <v>49</v>
      </c>
      <c r="C25" s="227" t="s">
        <v>49</v>
      </c>
      <c r="D25" s="227" t="s">
        <v>49</v>
      </c>
      <c r="E25" s="227" t="s">
        <v>49</v>
      </c>
      <c r="F25" s="227" t="s">
        <v>49</v>
      </c>
      <c r="G25" s="58"/>
      <c r="H25" s="58"/>
      <c r="I25" s="58"/>
    </row>
    <row r="26" spans="1:9">
      <c r="A26" s="57" t="s">
        <v>118</v>
      </c>
      <c r="B26" s="248"/>
      <c r="C26" s="248"/>
      <c r="D26" s="248"/>
      <c r="E26" s="248"/>
      <c r="F26" s="248"/>
      <c r="G26" s="61"/>
      <c r="H26" s="61"/>
      <c r="I26" s="61"/>
    </row>
    <row r="27" spans="1:9">
      <c r="A27" s="57" t="s">
        <v>119</v>
      </c>
      <c r="B27" s="239">
        <v>10089.009976000001</v>
      </c>
      <c r="C27" s="239">
        <v>19857.855627000001</v>
      </c>
      <c r="D27" s="239">
        <v>32778.425740999999</v>
      </c>
      <c r="E27" s="239">
        <v>9998.1110000000008</v>
      </c>
      <c r="F27" s="239">
        <v>9920</v>
      </c>
      <c r="G27" s="61">
        <f>F27</f>
        <v>9920</v>
      </c>
      <c r="H27" s="61"/>
      <c r="I27" s="61"/>
    </row>
    <row r="28" spans="1:9">
      <c r="A28" s="57" t="s">
        <v>120</v>
      </c>
      <c r="B28" s="248"/>
      <c r="C28" s="248"/>
      <c r="D28" s="248"/>
      <c r="E28" s="248"/>
      <c r="F28" s="248"/>
      <c r="G28" s="61"/>
      <c r="H28" s="61"/>
      <c r="I28" s="61"/>
    </row>
    <row r="29" spans="1:9">
      <c r="A29" s="57" t="s">
        <v>121</v>
      </c>
      <c r="B29" s="248"/>
      <c r="C29" s="248"/>
      <c r="D29" s="248"/>
      <c r="E29" s="248"/>
      <c r="F29" s="248"/>
      <c r="G29" s="61"/>
      <c r="H29" s="61"/>
      <c r="I29" s="61"/>
    </row>
    <row r="30" spans="1:9">
      <c r="A30" s="57" t="s">
        <v>122</v>
      </c>
      <c r="B30" s="239">
        <v>8953.3086180000009</v>
      </c>
      <c r="C30" s="239">
        <v>11725.144149</v>
      </c>
      <c r="D30" s="239">
        <v>8200.3304669999998</v>
      </c>
      <c r="E30" s="239">
        <v>8657.649872</v>
      </c>
      <c r="F30" s="239">
        <v>13952.596040999999</v>
      </c>
      <c r="G30" s="61">
        <f>F30</f>
        <v>13952.596040999999</v>
      </c>
      <c r="H30" s="61"/>
      <c r="I30" s="61"/>
    </row>
    <row r="31" spans="1:9">
      <c r="A31" s="57" t="s">
        <v>123</v>
      </c>
      <c r="B31" s="239">
        <v>8923.7945529999997</v>
      </c>
      <c r="C31" s="239">
        <v>8291.8965459999999</v>
      </c>
      <c r="D31" s="239">
        <v>10520.743952999999</v>
      </c>
      <c r="E31" s="239">
        <v>10362.185517</v>
      </c>
      <c r="F31" s="239">
        <v>9495.374452</v>
      </c>
      <c r="G31" s="61">
        <f>F31</f>
        <v>9495.374452</v>
      </c>
      <c r="H31" s="61"/>
      <c r="I31" s="61"/>
    </row>
    <row r="32" spans="1:9">
      <c r="A32" s="57" t="s">
        <v>124</v>
      </c>
      <c r="B32" s="239">
        <v>22854.121071000001</v>
      </c>
      <c r="C32" s="239">
        <v>25206.736894999998</v>
      </c>
      <c r="D32" s="239">
        <v>24891.250657000001</v>
      </c>
      <c r="E32" s="239">
        <v>27757.433700000001</v>
      </c>
      <c r="F32" s="239">
        <v>28195.635818000002</v>
      </c>
      <c r="G32" s="61"/>
      <c r="H32" s="61"/>
      <c r="I32" s="61"/>
    </row>
    <row r="33" spans="1:9">
      <c r="A33" s="57" t="s">
        <v>125</v>
      </c>
      <c r="B33" s="239">
        <v>0</v>
      </c>
      <c r="C33" s="239">
        <v>0</v>
      </c>
      <c r="D33" s="239">
        <v>0</v>
      </c>
      <c r="E33" s="239">
        <v>162.94844699999999</v>
      </c>
      <c r="F33" s="239">
        <v>13524.498196999999</v>
      </c>
      <c r="G33" s="61">
        <f>F33</f>
        <v>13524.498196999999</v>
      </c>
      <c r="H33" s="61"/>
      <c r="I33" s="61"/>
    </row>
    <row r="34" spans="1:9">
      <c r="A34" s="57" t="s">
        <v>126</v>
      </c>
      <c r="B34" s="248"/>
      <c r="C34" s="248"/>
      <c r="D34" s="248"/>
      <c r="E34" s="248"/>
      <c r="F34" s="248"/>
      <c r="G34" s="61"/>
      <c r="H34" s="61"/>
      <c r="I34" s="61"/>
    </row>
    <row r="35" spans="1:9">
      <c r="A35" s="57" t="s">
        <v>127</v>
      </c>
      <c r="B35" s="248"/>
      <c r="C35" s="248"/>
      <c r="D35" s="248"/>
      <c r="E35" s="248"/>
      <c r="F35" s="248"/>
      <c r="G35" s="61"/>
      <c r="H35" s="61"/>
      <c r="I35" s="61"/>
    </row>
    <row r="36" spans="1:9">
      <c r="A36" s="57" t="s">
        <v>128</v>
      </c>
      <c r="B36" s="248"/>
      <c r="C36" s="248"/>
      <c r="D36" s="248"/>
      <c r="E36" s="248"/>
      <c r="F36" s="248"/>
      <c r="G36" s="61"/>
      <c r="H36" s="61"/>
      <c r="I36" s="61"/>
    </row>
    <row r="37" spans="1:9">
      <c r="A37" s="57" t="s">
        <v>129</v>
      </c>
      <c r="B37" s="248"/>
      <c r="C37" s="248"/>
      <c r="D37" s="248"/>
      <c r="E37" s="248"/>
      <c r="F37" s="248"/>
      <c r="G37" s="61"/>
      <c r="H37" s="61"/>
      <c r="I37" s="61"/>
    </row>
    <row r="38" spans="1:9">
      <c r="A38" s="57" t="s">
        <v>130</v>
      </c>
      <c r="B38" s="239">
        <v>20813.375215</v>
      </c>
      <c r="C38" s="239">
        <v>19120.463969</v>
      </c>
      <c r="D38" s="239">
        <v>18950.219222</v>
      </c>
      <c r="E38" s="239">
        <v>19254.792138000001</v>
      </c>
      <c r="F38" s="239">
        <v>15034.536587999999</v>
      </c>
      <c r="G38" s="61"/>
      <c r="H38" s="61"/>
      <c r="I38" s="61"/>
    </row>
    <row r="39" spans="1:9">
      <c r="A39" s="57" t="s">
        <v>131</v>
      </c>
      <c r="B39" s="239">
        <v>1029.7115919999999</v>
      </c>
      <c r="C39" s="239">
        <v>3864.4635299999995</v>
      </c>
      <c r="D39" s="239">
        <v>2575.4576520000001</v>
      </c>
      <c r="E39" s="239">
        <v>2078.8409729999998</v>
      </c>
      <c r="F39" s="239">
        <v>6787.6683140000005</v>
      </c>
      <c r="G39" s="61"/>
      <c r="H39" s="61"/>
      <c r="I39" s="61"/>
    </row>
    <row r="40" spans="1:9">
      <c r="A40" s="57" t="s">
        <v>132</v>
      </c>
      <c r="B40" s="239">
        <v>29462.171281999999</v>
      </c>
      <c r="C40" s="239">
        <v>70568.688729000001</v>
      </c>
      <c r="D40" s="239">
        <v>70568.688729000001</v>
      </c>
      <c r="E40" s="239">
        <v>70443.159146999998</v>
      </c>
      <c r="F40" s="239">
        <v>70443.159146999998</v>
      </c>
      <c r="G40" s="61"/>
      <c r="H40" s="61"/>
      <c r="I40" s="61"/>
    </row>
    <row r="41" spans="1:9">
      <c r="A41" s="57" t="s">
        <v>133</v>
      </c>
      <c r="B41" s="239">
        <v>590.04760299999998</v>
      </c>
      <c r="C41" s="239">
        <v>579.87609800000007</v>
      </c>
      <c r="D41" s="239">
        <v>696.09252199999992</v>
      </c>
      <c r="E41" s="239">
        <v>384.41767499999997</v>
      </c>
      <c r="F41" s="239">
        <v>203.42907099999999</v>
      </c>
      <c r="G41" s="61"/>
      <c r="H41" s="61"/>
      <c r="I41" s="61"/>
    </row>
    <row r="42" spans="1:9">
      <c r="A42" s="57" t="s">
        <v>134</v>
      </c>
      <c r="B42" s="239">
        <v>5787.5619740000002</v>
      </c>
      <c r="C42" s="239">
        <v>7397.614959999999</v>
      </c>
      <c r="D42" s="239">
        <v>7977.6021900000005</v>
      </c>
      <c r="E42" s="239">
        <v>10187.511399999999</v>
      </c>
      <c r="F42" s="239">
        <v>13116.53312</v>
      </c>
      <c r="G42" s="61">
        <f>F42</f>
        <v>13116.53312</v>
      </c>
      <c r="H42" s="61"/>
      <c r="I42" s="61"/>
    </row>
    <row r="43" spans="1:9">
      <c r="A43" s="57" t="s">
        <v>135</v>
      </c>
      <c r="B43" s="239">
        <v>2198.1960649999996</v>
      </c>
      <c r="C43" s="239">
        <v>18579.970700000002</v>
      </c>
      <c r="D43" s="239">
        <v>15746.2786</v>
      </c>
      <c r="E43" s="239">
        <v>17295.219300000001</v>
      </c>
      <c r="F43" s="239">
        <v>15464</v>
      </c>
      <c r="G43" s="61">
        <f>F43</f>
        <v>15464</v>
      </c>
      <c r="H43" s="61" t="s">
        <v>755</v>
      </c>
      <c r="I43" s="61"/>
    </row>
    <row r="44" spans="1:9">
      <c r="A44" s="57" t="s">
        <v>136</v>
      </c>
      <c r="B44" s="248"/>
      <c r="C44" s="248"/>
      <c r="D44" s="248"/>
      <c r="E44" s="248"/>
      <c r="F44" s="248"/>
      <c r="G44" s="61"/>
      <c r="H44" s="61"/>
      <c r="I44" s="61"/>
    </row>
    <row r="45" spans="1:9">
      <c r="A45" s="57" t="s">
        <v>137</v>
      </c>
      <c r="B45" s="248"/>
      <c r="C45" s="248"/>
      <c r="D45" s="248"/>
      <c r="E45" s="248"/>
      <c r="F45" s="248"/>
      <c r="G45" s="61"/>
      <c r="H45" s="61"/>
      <c r="I45" s="61"/>
    </row>
    <row r="46" spans="1:9">
      <c r="A46" s="60" t="s">
        <v>138</v>
      </c>
      <c r="B46" s="249">
        <f t="shared" ref="B46" si="4">SUM(B26:B45)</f>
        <v>110701.297949</v>
      </c>
      <c r="C46" s="249">
        <f t="shared" ref="C46:E46" si="5">SUM(C26:C45)</f>
        <v>185192.71120300001</v>
      </c>
      <c r="D46" s="249">
        <f t="shared" si="5"/>
        <v>192905.08973299997</v>
      </c>
      <c r="E46" s="249">
        <f t="shared" si="5"/>
        <v>176582.26916899998</v>
      </c>
      <c r="F46" s="249">
        <f t="shared" ref="F46:G46" si="6">SUM(F26:F45)</f>
        <v>196137.43074799998</v>
      </c>
      <c r="G46" s="249">
        <f t="shared" si="6"/>
        <v>75473.001810000002</v>
      </c>
      <c r="H46" s="101"/>
      <c r="I46" s="61"/>
    </row>
    <row r="47" spans="1:9">
      <c r="A47" s="57" t="s">
        <v>139</v>
      </c>
      <c r="B47" s="248"/>
      <c r="C47" s="248"/>
      <c r="D47" s="248"/>
      <c r="E47" s="248"/>
      <c r="F47" s="248"/>
      <c r="G47" s="61"/>
      <c r="H47" s="61"/>
      <c r="I47" s="61"/>
    </row>
    <row r="48" spans="1:9">
      <c r="A48" s="57" t="s">
        <v>140</v>
      </c>
      <c r="B48" s="248"/>
      <c r="C48" s="248"/>
      <c r="D48" s="248"/>
      <c r="E48" s="248"/>
      <c r="F48" s="248"/>
      <c r="G48" s="61"/>
      <c r="H48" s="61"/>
      <c r="I48" s="61"/>
    </row>
    <row r="49" spans="1:9">
      <c r="A49" s="60" t="s">
        <v>12</v>
      </c>
      <c r="B49" s="249">
        <f t="shared" ref="B49" si="7">B46+B24</f>
        <v>325495.24599600001</v>
      </c>
      <c r="C49" s="249">
        <f t="shared" ref="C49:E49" si="8">C46+C24</f>
        <v>427501.16768900002</v>
      </c>
      <c r="D49" s="249">
        <f t="shared" si="8"/>
        <v>490022.225981</v>
      </c>
      <c r="E49" s="249">
        <f t="shared" si="8"/>
        <v>689615.50200399989</v>
      </c>
      <c r="F49" s="249">
        <f t="shared" ref="F49:G49" si="9">F46+F24</f>
        <v>671062.15019199997</v>
      </c>
      <c r="G49" s="249">
        <f t="shared" si="9"/>
        <v>227855.033215</v>
      </c>
      <c r="H49" s="101"/>
      <c r="I49" s="61"/>
    </row>
    <row r="50" spans="1:9">
      <c r="A50" s="60" t="s">
        <v>141</v>
      </c>
      <c r="B50" s="227" t="s">
        <v>49</v>
      </c>
      <c r="C50" s="227" t="s">
        <v>49</v>
      </c>
      <c r="D50" s="227" t="s">
        <v>49</v>
      </c>
      <c r="E50" s="227" t="s">
        <v>49</v>
      </c>
      <c r="F50" s="227" t="s">
        <v>49</v>
      </c>
      <c r="G50" s="58"/>
      <c r="H50" s="58"/>
      <c r="I50" s="58"/>
    </row>
    <row r="51" spans="1:9">
      <c r="A51" s="57" t="s">
        <v>142</v>
      </c>
      <c r="B51" s="239">
        <v>0</v>
      </c>
      <c r="C51" s="239">
        <v>590</v>
      </c>
      <c r="D51" s="239">
        <v>0</v>
      </c>
      <c r="E51" s="239">
        <v>100</v>
      </c>
      <c r="F51" s="239">
        <v>0</v>
      </c>
      <c r="G51" s="61"/>
      <c r="H51" s="61"/>
      <c r="I51" s="61"/>
    </row>
    <row r="52" spans="1:9">
      <c r="A52" s="57" t="s">
        <v>143</v>
      </c>
      <c r="B52" s="248"/>
      <c r="C52" s="248"/>
      <c r="D52" s="248"/>
      <c r="E52" s="248"/>
      <c r="F52" s="248"/>
      <c r="G52" s="61"/>
      <c r="H52" s="61"/>
      <c r="I52" s="61"/>
    </row>
    <row r="53" spans="1:9">
      <c r="A53" s="57" t="s">
        <v>144</v>
      </c>
      <c r="B53" s="248"/>
      <c r="C53" s="248"/>
      <c r="D53" s="248"/>
      <c r="E53" s="248"/>
      <c r="F53" s="248"/>
      <c r="G53" s="61"/>
      <c r="H53" s="61"/>
      <c r="I53" s="61"/>
    </row>
    <row r="54" spans="1:9">
      <c r="A54" s="57" t="s">
        <v>145</v>
      </c>
      <c r="B54" s="248"/>
      <c r="C54" s="248"/>
      <c r="D54" s="248"/>
      <c r="E54" s="248"/>
      <c r="F54" s="248"/>
      <c r="G54" s="61"/>
      <c r="H54" s="61"/>
      <c r="I54" s="61"/>
    </row>
    <row r="55" spans="1:9">
      <c r="A55" s="57" t="s">
        <v>146</v>
      </c>
      <c r="B55" s="239">
        <v>34743.409760000002</v>
      </c>
      <c r="C55" s="239">
        <v>42561.300130000003</v>
      </c>
      <c r="D55" s="239">
        <v>57798.970454999995</v>
      </c>
      <c r="E55" s="239">
        <v>72481.955877</v>
      </c>
      <c r="F55" s="239">
        <v>60334.522809000002</v>
      </c>
      <c r="G55" s="61"/>
      <c r="H55" s="61"/>
      <c r="I55" s="61"/>
    </row>
    <row r="56" spans="1:9">
      <c r="A56" s="57" t="s">
        <v>147</v>
      </c>
      <c r="B56" s="239">
        <v>25577.462771000002</v>
      </c>
      <c r="C56" s="239">
        <v>19438.889309999999</v>
      </c>
      <c r="D56" s="239">
        <v>15021.28889</v>
      </c>
      <c r="E56" s="239">
        <v>21373.572537</v>
      </c>
      <c r="F56" s="239">
        <v>725.39451199999996</v>
      </c>
      <c r="G56" s="61"/>
      <c r="H56" s="61"/>
      <c r="I56" s="61"/>
    </row>
    <row r="57" spans="1:9">
      <c r="A57" s="57" t="s">
        <v>739</v>
      </c>
      <c r="B57" s="239">
        <v>0</v>
      </c>
      <c r="C57" s="239">
        <v>0</v>
      </c>
      <c r="D57" s="239">
        <v>0</v>
      </c>
      <c r="E57" s="239">
        <v>0</v>
      </c>
      <c r="F57" s="239">
        <v>27837.658200000002</v>
      </c>
      <c r="G57" s="61"/>
      <c r="H57" s="61"/>
      <c r="I57" s="61"/>
    </row>
    <row r="58" spans="1:9">
      <c r="A58" s="57" t="s">
        <v>148</v>
      </c>
      <c r="B58" s="239">
        <v>12188.376181</v>
      </c>
      <c r="C58" s="239">
        <v>14339.652849</v>
      </c>
      <c r="D58" s="239">
        <v>19900.763301999999</v>
      </c>
      <c r="E58" s="239">
        <v>28488.406561</v>
      </c>
      <c r="F58" s="239">
        <v>20374.528636000003</v>
      </c>
      <c r="G58" s="61"/>
      <c r="H58" s="61"/>
      <c r="I58" s="61"/>
    </row>
    <row r="59" spans="1:9">
      <c r="A59" s="57" t="s">
        <v>149</v>
      </c>
      <c r="B59" s="239">
        <v>15622.728953999998</v>
      </c>
      <c r="C59" s="239">
        <v>20630.724361</v>
      </c>
      <c r="D59" s="239">
        <v>22007.342978000001</v>
      </c>
      <c r="E59" s="239">
        <v>27341.594620999997</v>
      </c>
      <c r="F59" s="239">
        <v>16876.451150999997</v>
      </c>
      <c r="G59" s="61"/>
      <c r="H59" s="61"/>
      <c r="I59" s="61"/>
    </row>
    <row r="60" spans="1:9">
      <c r="A60" s="57" t="s">
        <v>150</v>
      </c>
      <c r="B60" s="248"/>
      <c r="C60" s="248"/>
      <c r="D60" s="248"/>
      <c r="E60" s="248"/>
      <c r="F60" s="248"/>
      <c r="G60" s="61"/>
      <c r="H60" s="61"/>
      <c r="I60" s="61"/>
    </row>
    <row r="61" spans="1:9">
      <c r="A61" s="57" t="s">
        <v>151</v>
      </c>
      <c r="B61" s="248"/>
      <c r="C61" s="248"/>
      <c r="D61" s="248"/>
      <c r="E61" s="248"/>
      <c r="F61" s="248"/>
      <c r="G61" s="61"/>
      <c r="H61" s="61"/>
      <c r="I61" s="61"/>
    </row>
    <row r="62" spans="1:9">
      <c r="A62" s="57" t="s">
        <v>152</v>
      </c>
      <c r="B62" s="239">
        <v>4928.5313320000005</v>
      </c>
      <c r="C62" s="239">
        <v>7035.3228069999996</v>
      </c>
      <c r="D62" s="239">
        <v>7117.0293419999998</v>
      </c>
      <c r="E62" s="239">
        <v>12237.213454000001</v>
      </c>
      <c r="F62" s="239">
        <v>10041.812610999999</v>
      </c>
      <c r="G62" s="61"/>
      <c r="H62" s="61"/>
      <c r="I62" s="61"/>
    </row>
    <row r="63" spans="1:9">
      <c r="A63" s="57" t="s">
        <v>153</v>
      </c>
      <c r="B63" s="248"/>
      <c r="C63" s="248"/>
      <c r="D63" s="248"/>
      <c r="E63" s="248"/>
      <c r="F63" s="248"/>
      <c r="G63" s="61"/>
      <c r="H63" s="61"/>
      <c r="I63" s="61"/>
    </row>
    <row r="64" spans="1:9">
      <c r="A64" s="57" t="s">
        <v>154</v>
      </c>
      <c r="B64" s="248"/>
      <c r="C64" s="248"/>
      <c r="D64" s="248"/>
      <c r="E64" s="248"/>
      <c r="F64" s="248"/>
      <c r="G64" s="61"/>
      <c r="H64" s="61"/>
      <c r="I64" s="61"/>
    </row>
    <row r="65" spans="1:9">
      <c r="A65" s="57" t="s">
        <v>155</v>
      </c>
      <c r="B65" s="248"/>
      <c r="C65" s="248"/>
      <c r="D65" s="248"/>
      <c r="E65" s="248"/>
      <c r="F65" s="248"/>
      <c r="G65" s="61"/>
      <c r="H65" s="61"/>
      <c r="I65" s="61"/>
    </row>
    <row r="66" spans="1:9">
      <c r="A66" s="57" t="s">
        <v>156</v>
      </c>
      <c r="B66" s="248"/>
      <c r="C66" s="248"/>
      <c r="D66" s="248"/>
      <c r="E66" s="248"/>
      <c r="F66" s="248"/>
      <c r="G66" s="61"/>
      <c r="H66" s="61"/>
      <c r="I66" s="61"/>
    </row>
    <row r="67" spans="1:9">
      <c r="A67" s="57" t="s">
        <v>157</v>
      </c>
      <c r="B67" s="248"/>
      <c r="C67" s="248"/>
      <c r="D67" s="248"/>
      <c r="E67" s="248"/>
      <c r="F67" s="248"/>
      <c r="G67" s="61"/>
      <c r="H67" s="61"/>
      <c r="I67" s="61"/>
    </row>
    <row r="68" spans="1:9">
      <c r="A68" s="57" t="s">
        <v>158</v>
      </c>
      <c r="B68" s="248"/>
      <c r="C68" s="248"/>
      <c r="D68" s="248"/>
      <c r="E68" s="248"/>
      <c r="F68" s="248"/>
      <c r="G68" s="61"/>
      <c r="H68" s="61"/>
      <c r="I68" s="61"/>
    </row>
    <row r="69" spans="1:9">
      <c r="A69" s="57" t="s">
        <v>159</v>
      </c>
      <c r="B69" s="248"/>
      <c r="C69" s="248"/>
      <c r="D69" s="248"/>
      <c r="E69" s="248"/>
      <c r="F69" s="248"/>
      <c r="G69" s="61"/>
      <c r="H69" s="61"/>
      <c r="I69" s="61"/>
    </row>
    <row r="70" spans="1:9">
      <c r="A70" s="57" t="s">
        <v>160</v>
      </c>
      <c r="B70" s="248"/>
      <c r="C70" s="248"/>
      <c r="D70" s="248"/>
      <c r="E70" s="248"/>
      <c r="F70" s="248"/>
      <c r="G70" s="61"/>
      <c r="H70" s="61"/>
      <c r="I70" s="61"/>
    </row>
    <row r="71" spans="1:9">
      <c r="A71" s="57" t="s">
        <v>161</v>
      </c>
      <c r="B71" s="248"/>
      <c r="C71" s="248"/>
      <c r="D71" s="248"/>
      <c r="E71" s="248"/>
      <c r="F71" s="248"/>
      <c r="G71" s="61"/>
      <c r="H71" s="61"/>
      <c r="I71" s="61"/>
    </row>
    <row r="72" spans="1:9">
      <c r="A72" s="60" t="s">
        <v>162</v>
      </c>
      <c r="B72" s="249">
        <f t="shared" ref="B72" si="10">SUM(B51:B71)</f>
        <v>93060.50899799999</v>
      </c>
      <c r="C72" s="249">
        <f t="shared" ref="C72:E72" si="11">SUM(C51:C71)</f>
        <v>104595.88945700001</v>
      </c>
      <c r="D72" s="249">
        <f t="shared" si="11"/>
        <v>121845.394967</v>
      </c>
      <c r="E72" s="249">
        <f t="shared" si="11"/>
        <v>162022.74304999999</v>
      </c>
      <c r="F72" s="249">
        <f t="shared" ref="F72:G72" si="12">SUM(F51:F71)</f>
        <v>136190.36791900001</v>
      </c>
      <c r="G72" s="249">
        <f t="shared" si="12"/>
        <v>0</v>
      </c>
      <c r="H72" s="101"/>
      <c r="I72" s="61"/>
    </row>
    <row r="73" spans="1:9">
      <c r="A73" s="60" t="s">
        <v>163</v>
      </c>
      <c r="B73" s="227" t="s">
        <v>49</v>
      </c>
      <c r="C73" s="227" t="s">
        <v>49</v>
      </c>
      <c r="D73" s="227" t="s">
        <v>49</v>
      </c>
      <c r="E73" s="227" t="s">
        <v>49</v>
      </c>
      <c r="F73" s="227" t="s">
        <v>49</v>
      </c>
      <c r="G73" s="58"/>
      <c r="H73" s="58"/>
      <c r="I73" s="58"/>
    </row>
    <row r="74" spans="1:9">
      <c r="A74" s="57" t="s">
        <v>164</v>
      </c>
      <c r="B74" s="248"/>
      <c r="C74" s="248"/>
      <c r="D74" s="248"/>
      <c r="E74" s="248"/>
      <c r="F74" s="248"/>
      <c r="G74" s="61"/>
      <c r="H74" s="61"/>
      <c r="I74" s="61"/>
    </row>
    <row r="75" spans="1:9">
      <c r="A75" s="57" t="s">
        <v>165</v>
      </c>
      <c r="B75" s="239">
        <v>0</v>
      </c>
      <c r="C75" s="239">
        <v>0</v>
      </c>
      <c r="D75" s="239">
        <v>0</v>
      </c>
      <c r="E75" s="239">
        <v>84994.649386000005</v>
      </c>
      <c r="F75" s="239">
        <v>0</v>
      </c>
      <c r="G75" s="61"/>
      <c r="H75" s="61"/>
      <c r="I75" s="61"/>
    </row>
    <row r="76" spans="1:9">
      <c r="A76" s="57" t="s">
        <v>166</v>
      </c>
      <c r="B76" s="248"/>
      <c r="C76" s="248"/>
      <c r="D76" s="248"/>
      <c r="E76" s="248"/>
      <c r="F76" s="248"/>
      <c r="G76" s="61"/>
      <c r="H76" s="61"/>
      <c r="I76" s="61"/>
    </row>
    <row r="77" spans="1:9">
      <c r="A77" s="57" t="s">
        <v>167</v>
      </c>
      <c r="B77" s="248"/>
      <c r="C77" s="248"/>
      <c r="D77" s="248"/>
      <c r="E77" s="248"/>
      <c r="F77" s="248"/>
      <c r="G77" s="61"/>
      <c r="H77" s="61"/>
      <c r="I77" s="61"/>
    </row>
    <row r="78" spans="1:9">
      <c r="A78" s="57" t="s">
        <v>168</v>
      </c>
      <c r="B78" s="248"/>
      <c r="C78" s="248"/>
      <c r="D78" s="248"/>
      <c r="E78" s="248"/>
      <c r="F78" s="248"/>
      <c r="G78" s="61"/>
      <c r="H78" s="61"/>
      <c r="I78" s="61"/>
    </row>
    <row r="79" spans="1:9">
      <c r="A79" s="57" t="s">
        <v>169</v>
      </c>
      <c r="B79" s="248"/>
      <c r="C79" s="248"/>
      <c r="D79" s="248"/>
      <c r="E79" s="248"/>
      <c r="F79" s="248"/>
      <c r="G79" s="61"/>
      <c r="H79" s="61"/>
      <c r="I79" s="61"/>
    </row>
    <row r="80" spans="1:9">
      <c r="A80" s="57" t="s">
        <v>170</v>
      </c>
      <c r="B80" s="239">
        <v>1529.9699089999999</v>
      </c>
      <c r="C80" s="239">
        <v>1307.2168390000002</v>
      </c>
      <c r="D80" s="239">
        <v>2000.3951989999998</v>
      </c>
      <c r="E80" s="239">
        <v>2565.93849</v>
      </c>
      <c r="F80" s="239">
        <v>2509.7204710000001</v>
      </c>
      <c r="G80" s="61">
        <f>F80</f>
        <v>2509.7204710000001</v>
      </c>
      <c r="H80" s="61"/>
      <c r="I80" s="61"/>
    </row>
    <row r="81" spans="1:9">
      <c r="A81" s="57" t="s">
        <v>171</v>
      </c>
      <c r="B81" s="239">
        <v>4966.1755539999995</v>
      </c>
      <c r="C81" s="239">
        <v>3915.8205240000002</v>
      </c>
      <c r="D81" s="239">
        <v>3829.0236600000003</v>
      </c>
      <c r="E81" s="239">
        <v>3255.358894</v>
      </c>
      <c r="F81" s="239">
        <v>5581.5210979999993</v>
      </c>
      <c r="G81" s="61">
        <f>F81</f>
        <v>5581.5210979999993</v>
      </c>
      <c r="H81" s="61"/>
      <c r="I81" s="61"/>
    </row>
    <row r="82" spans="1:9">
      <c r="A82" s="57" t="s">
        <v>172</v>
      </c>
      <c r="B82" s="248"/>
      <c r="C82" s="248"/>
      <c r="D82" s="248"/>
      <c r="E82" s="248"/>
      <c r="F82" s="248"/>
      <c r="G82" s="61"/>
      <c r="H82" s="61"/>
      <c r="I82" s="61"/>
    </row>
    <row r="83" spans="1:9">
      <c r="A83" s="57" t="s">
        <v>173</v>
      </c>
      <c r="B83" s="248"/>
      <c r="C83" s="248"/>
      <c r="D83" s="248"/>
      <c r="E83" s="248"/>
      <c r="F83" s="248"/>
      <c r="G83" s="61"/>
      <c r="H83" s="61"/>
      <c r="I83" s="61"/>
    </row>
    <row r="84" spans="1:9">
      <c r="A84" s="57" t="s">
        <v>174</v>
      </c>
      <c r="B84" s="248"/>
      <c r="C84" s="248"/>
      <c r="D84" s="248"/>
      <c r="E84" s="248"/>
      <c r="F84" s="248"/>
      <c r="G84" s="61"/>
      <c r="H84" s="61"/>
      <c r="I84" s="61"/>
    </row>
    <row r="85" spans="1:9">
      <c r="A85" s="60" t="s">
        <v>175</v>
      </c>
      <c r="B85" s="249">
        <f t="shared" ref="B85:G85" si="13">SUM(B74:B84)</f>
        <v>6496.1454629999989</v>
      </c>
      <c r="C85" s="249">
        <f t="shared" si="13"/>
        <v>5223.0373630000004</v>
      </c>
      <c r="D85" s="249">
        <f t="shared" si="13"/>
        <v>5829.4188590000003</v>
      </c>
      <c r="E85" s="249">
        <f t="shared" si="13"/>
        <v>90815.94677000001</v>
      </c>
      <c r="F85" s="249">
        <f t="shared" si="13"/>
        <v>8091.2415689999998</v>
      </c>
      <c r="G85" s="249">
        <f t="shared" si="13"/>
        <v>8091.2415689999998</v>
      </c>
      <c r="H85" s="101"/>
      <c r="I85" s="61"/>
    </row>
    <row r="86" spans="1:9">
      <c r="A86" s="57" t="s">
        <v>176</v>
      </c>
      <c r="B86" s="248"/>
      <c r="C86" s="248"/>
      <c r="D86" s="248"/>
      <c r="E86" s="248"/>
      <c r="F86" s="248"/>
      <c r="G86" s="61"/>
      <c r="H86" s="61"/>
      <c r="I86" s="61"/>
    </row>
    <row r="87" spans="1:9">
      <c r="A87" s="57" t="s">
        <v>177</v>
      </c>
      <c r="B87" s="248"/>
      <c r="C87" s="248"/>
      <c r="D87" s="248"/>
      <c r="E87" s="248"/>
      <c r="F87" s="248"/>
      <c r="G87" s="61"/>
      <c r="H87" s="61"/>
      <c r="I87" s="61"/>
    </row>
    <row r="88" spans="1:9">
      <c r="A88" s="60" t="s">
        <v>178</v>
      </c>
      <c r="B88" s="249">
        <f t="shared" ref="B88" si="14">B85+B72</f>
        <v>99556.654460999984</v>
      </c>
      <c r="C88" s="249">
        <f t="shared" ref="C88:E88" si="15">C85+C72</f>
        <v>109818.92682000001</v>
      </c>
      <c r="D88" s="249">
        <f t="shared" si="15"/>
        <v>127674.813826</v>
      </c>
      <c r="E88" s="249">
        <f t="shared" si="15"/>
        <v>252838.68982</v>
      </c>
      <c r="F88" s="249">
        <f t="shared" ref="F88:G88" si="16">F85+F72</f>
        <v>144281.60948800002</v>
      </c>
      <c r="G88" s="249">
        <f t="shared" si="16"/>
        <v>8091.2415689999998</v>
      </c>
      <c r="H88" s="101"/>
      <c r="I88" s="61"/>
    </row>
    <row r="89" spans="1:9">
      <c r="A89" s="60" t="s">
        <v>58</v>
      </c>
      <c r="B89" s="227" t="s">
        <v>49</v>
      </c>
      <c r="C89" s="227" t="s">
        <v>49</v>
      </c>
      <c r="D89" s="227" t="s">
        <v>49</v>
      </c>
      <c r="E89" s="227" t="s">
        <v>49</v>
      </c>
      <c r="F89" s="227" t="s">
        <v>49</v>
      </c>
      <c r="G89" s="58"/>
      <c r="H89" s="58"/>
      <c r="I89" s="58"/>
    </row>
    <row r="90" spans="1:9">
      <c r="A90" s="57" t="s">
        <v>179</v>
      </c>
      <c r="B90" s="239">
        <v>86894.227400000003</v>
      </c>
      <c r="C90" s="239">
        <v>89669.258700000006</v>
      </c>
      <c r="D90" s="239">
        <v>89669.258700000006</v>
      </c>
      <c r="E90" s="239">
        <v>89670.124100000001</v>
      </c>
      <c r="F90" s="239">
        <v>93358.374200000006</v>
      </c>
      <c r="G90" s="61"/>
      <c r="H90" s="61"/>
      <c r="I90" s="61"/>
    </row>
    <row r="91" spans="1:9">
      <c r="A91" s="57" t="s">
        <v>180</v>
      </c>
      <c r="B91" s="239">
        <v>0</v>
      </c>
      <c r="C91" s="239">
        <v>0</v>
      </c>
      <c r="D91" s="239">
        <v>0</v>
      </c>
      <c r="E91" s="239">
        <v>21415.929122999998</v>
      </c>
      <c r="F91" s="239">
        <v>0</v>
      </c>
      <c r="G91" s="61"/>
      <c r="H91" s="61"/>
      <c r="I91" s="61"/>
    </row>
    <row r="92" spans="1:9">
      <c r="A92" s="57" t="s">
        <v>181</v>
      </c>
      <c r="B92" s="248"/>
      <c r="C92" s="248"/>
      <c r="D92" s="248"/>
      <c r="E92" s="248"/>
      <c r="F92" s="248"/>
      <c r="G92" s="61"/>
      <c r="H92" s="61"/>
      <c r="I92" s="61"/>
    </row>
    <row r="93" spans="1:9">
      <c r="A93" s="57" t="s">
        <v>182</v>
      </c>
      <c r="B93" s="239">
        <v>43849.601131999996</v>
      </c>
      <c r="C93" s="239">
        <v>96103.047900000005</v>
      </c>
      <c r="D93" s="239">
        <v>92991.811921</v>
      </c>
      <c r="E93" s="239">
        <v>88880.145557000011</v>
      </c>
      <c r="F93" s="239">
        <v>192559.00924300001</v>
      </c>
      <c r="G93" s="61"/>
      <c r="H93" s="61"/>
      <c r="I93" s="61"/>
    </row>
    <row r="94" spans="1:9">
      <c r="A94" s="57" t="s">
        <v>183</v>
      </c>
      <c r="B94" s="239">
        <v>0</v>
      </c>
      <c r="C94" s="239">
        <v>0</v>
      </c>
      <c r="D94" s="239">
        <v>-4234.0420549999999</v>
      </c>
      <c r="E94" s="239">
        <v>-10000.302326000001</v>
      </c>
      <c r="F94" s="239">
        <v>-10000.302326000001</v>
      </c>
      <c r="G94" s="61"/>
      <c r="H94" s="61"/>
      <c r="I94" s="61"/>
    </row>
    <row r="95" spans="1:9">
      <c r="A95" s="57" t="s">
        <v>184</v>
      </c>
      <c r="B95" s="239">
        <v>1.7727830000000002</v>
      </c>
      <c r="C95" s="239">
        <v>-289.60764700000004</v>
      </c>
      <c r="D95" s="239">
        <v>191.75773899999999</v>
      </c>
      <c r="E95" s="239">
        <v>462.24452199999996</v>
      </c>
      <c r="F95" s="239">
        <v>86.045158999999998</v>
      </c>
      <c r="G95" s="61"/>
      <c r="H95" s="61"/>
      <c r="I95" s="61"/>
    </row>
    <row r="96" spans="1:9">
      <c r="A96" s="57" t="s">
        <v>185</v>
      </c>
      <c r="B96" s="248"/>
      <c r="C96" s="248"/>
      <c r="D96" s="248"/>
      <c r="E96" s="248"/>
      <c r="F96" s="248"/>
      <c r="G96" s="61"/>
      <c r="H96" s="61"/>
      <c r="I96" s="61"/>
    </row>
    <row r="97" spans="1:9">
      <c r="A97" s="57" t="s">
        <v>186</v>
      </c>
      <c r="B97" s="239">
        <v>4070.2023220000001</v>
      </c>
      <c r="C97" s="239">
        <v>4972.0987230000001</v>
      </c>
      <c r="D97" s="239">
        <v>5998.0408280000001</v>
      </c>
      <c r="E97" s="239">
        <v>6063.4293590000007</v>
      </c>
      <c r="F97" s="239">
        <v>6063.4293590000007</v>
      </c>
      <c r="G97" s="61"/>
      <c r="H97" s="61"/>
      <c r="I97" s="61"/>
    </row>
    <row r="98" spans="1:9">
      <c r="A98" s="57" t="s">
        <v>187</v>
      </c>
      <c r="B98" s="248"/>
      <c r="C98" s="248"/>
      <c r="D98" s="248"/>
      <c r="E98" s="248"/>
      <c r="F98" s="248"/>
      <c r="G98" s="61"/>
      <c r="H98" s="61"/>
      <c r="I98" s="61"/>
    </row>
    <row r="99" spans="1:9">
      <c r="A99" s="57" t="s">
        <v>188</v>
      </c>
      <c r="B99" s="239">
        <v>87737.687648000006</v>
      </c>
      <c r="C99" s="239">
        <v>123058.063048</v>
      </c>
      <c r="D99" s="239">
        <v>174444.08989800001</v>
      </c>
      <c r="E99" s="239">
        <v>239838.24310999998</v>
      </c>
      <c r="F99" s="239">
        <v>244402.88420999999</v>
      </c>
      <c r="G99" s="61"/>
      <c r="H99" s="61"/>
      <c r="I99" s="61"/>
    </row>
    <row r="100" spans="1:9">
      <c r="A100" s="57" t="s">
        <v>189</v>
      </c>
      <c r="B100" s="248"/>
      <c r="C100" s="248"/>
      <c r="D100" s="248"/>
      <c r="E100" s="248"/>
      <c r="F100" s="248"/>
      <c r="G100" s="61"/>
      <c r="H100" s="61"/>
      <c r="I100" s="61"/>
    </row>
    <row r="101" spans="1:9">
      <c r="A101" s="57" t="s">
        <v>190</v>
      </c>
      <c r="B101" s="248"/>
      <c r="C101" s="248"/>
      <c r="D101" s="248"/>
      <c r="E101" s="248"/>
      <c r="F101" s="248"/>
      <c r="G101" s="61"/>
      <c r="H101" s="61"/>
      <c r="I101" s="61"/>
    </row>
    <row r="102" spans="1:9">
      <c r="A102" s="57" t="s">
        <v>191</v>
      </c>
      <c r="B102" s="248"/>
      <c r="C102" s="248"/>
      <c r="D102" s="248"/>
      <c r="E102" s="248"/>
      <c r="F102" s="248"/>
      <c r="G102" s="61"/>
      <c r="H102" s="61"/>
      <c r="I102" s="61"/>
    </row>
    <row r="103" spans="1:9">
      <c r="A103" s="57" t="s">
        <v>192</v>
      </c>
      <c r="B103" s="248"/>
      <c r="C103" s="248"/>
      <c r="D103" s="248"/>
      <c r="E103" s="248"/>
      <c r="F103" s="248"/>
      <c r="G103" s="61"/>
      <c r="H103" s="61"/>
      <c r="I103" s="61"/>
    </row>
    <row r="104" spans="1:9">
      <c r="A104" s="60" t="s">
        <v>193</v>
      </c>
      <c r="B104" s="249">
        <f>SUM(B90:B103)</f>
        <v>222553.491285</v>
      </c>
      <c r="C104" s="249">
        <f>SUM(C90:C103)</f>
        <v>313512.86072400003</v>
      </c>
      <c r="D104" s="249">
        <f>SUM(D90:D103)</f>
        <v>359060.91703100002</v>
      </c>
      <c r="E104" s="249">
        <f>SUM(E90:E103)</f>
        <v>436329.81344499998</v>
      </c>
      <c r="F104" s="249">
        <f>SUM(F90:F103)</f>
        <v>526469.43984499993</v>
      </c>
      <c r="G104" s="101"/>
      <c r="H104" s="101"/>
      <c r="I104" s="61"/>
    </row>
    <row r="105" spans="1:9">
      <c r="A105" s="57" t="s">
        <v>194</v>
      </c>
      <c r="B105" s="239">
        <v>3385.10025</v>
      </c>
      <c r="C105" s="239">
        <v>4169.3801450000001</v>
      </c>
      <c r="D105" s="239">
        <v>3286.495124</v>
      </c>
      <c r="E105" s="239">
        <v>446.99873899999994</v>
      </c>
      <c r="F105" s="239">
        <v>311.10085899999996</v>
      </c>
      <c r="G105" s="61"/>
      <c r="H105" s="61"/>
      <c r="I105" s="61"/>
    </row>
    <row r="106" spans="1:9">
      <c r="A106" s="60" t="s">
        <v>195</v>
      </c>
      <c r="B106" s="249">
        <f t="shared" ref="B106" si="17">B104+B105</f>
        <v>225938.59153499999</v>
      </c>
      <c r="C106" s="249">
        <f t="shared" ref="C106:E106" si="18">C104+C105</f>
        <v>317682.24086900003</v>
      </c>
      <c r="D106" s="249">
        <f t="shared" si="18"/>
        <v>362347.41215500003</v>
      </c>
      <c r="E106" s="249">
        <f t="shared" si="18"/>
        <v>436776.81218399998</v>
      </c>
      <c r="F106" s="249">
        <f t="shared" ref="F106" si="19">F104+F105</f>
        <v>526780.54070399993</v>
      </c>
      <c r="G106" s="101"/>
      <c r="H106" s="101"/>
      <c r="I106" s="61"/>
    </row>
    <row r="107" spans="1:9">
      <c r="A107" s="57" t="s">
        <v>196</v>
      </c>
      <c r="B107" s="248"/>
      <c r="C107" s="248"/>
      <c r="D107" s="248"/>
      <c r="E107" s="248"/>
      <c r="F107" s="248"/>
      <c r="G107" s="61"/>
      <c r="H107" s="61"/>
      <c r="I107" s="61"/>
    </row>
    <row r="108" spans="1:9">
      <c r="A108" s="57" t="s">
        <v>197</v>
      </c>
      <c r="B108" s="248"/>
      <c r="C108" s="248"/>
      <c r="D108" s="248"/>
      <c r="E108" s="248"/>
      <c r="F108" s="248"/>
      <c r="G108" s="61"/>
      <c r="H108" s="61"/>
      <c r="I108" s="61"/>
    </row>
    <row r="109" spans="1:9">
      <c r="A109" s="57" t="s">
        <v>198</v>
      </c>
      <c r="B109" s="249">
        <f t="shared" ref="B109" si="20">B106+B88</f>
        <v>325495.24599599995</v>
      </c>
      <c r="C109" s="249">
        <f t="shared" ref="C109:E109" si="21">C106+C88</f>
        <v>427501.16768900002</v>
      </c>
      <c r="D109" s="249">
        <f t="shared" si="21"/>
        <v>490022.225981</v>
      </c>
      <c r="E109" s="249">
        <f t="shared" si="21"/>
        <v>689615.50200400001</v>
      </c>
      <c r="F109" s="249">
        <f t="shared" ref="F109" si="22">F106+F88</f>
        <v>671062.15019199997</v>
      </c>
      <c r="G109" s="101"/>
      <c r="H109" s="101"/>
      <c r="I109" s="61"/>
    </row>
    <row r="111" spans="1:9" ht="12.75" customHeight="1">
      <c r="A111" s="57" t="s">
        <v>741</v>
      </c>
      <c r="B111" s="70"/>
      <c r="C111" s="104"/>
      <c r="D111" s="104"/>
      <c r="E111" s="104"/>
      <c r="F111" s="104"/>
      <c r="G111" s="251">
        <f>G49-G88</f>
        <v>219763.791646</v>
      </c>
      <c r="H111" s="58"/>
    </row>
    <row r="112" spans="1:9">
      <c r="A112" s="57" t="s">
        <v>746</v>
      </c>
      <c r="B112" s="70"/>
      <c r="C112" s="104"/>
      <c r="D112" s="104"/>
      <c r="E112" s="104"/>
      <c r="F112" s="104"/>
      <c r="G112" s="58"/>
      <c r="H112" s="58"/>
    </row>
    <row r="113" spans="1:1">
      <c r="A113" s="57" t="s">
        <v>199</v>
      </c>
    </row>
  </sheetData>
  <phoneticPr fontId="2" type="noConversion"/>
  <conditionalFormatting sqref="B5:F5">
    <cfRule type="cellIs" dxfId="141" priority="31" stopIfTrue="1" operator="lessThan">
      <formula>0</formula>
    </cfRule>
  </conditionalFormatting>
  <conditionalFormatting sqref="B6:F6">
    <cfRule type="cellIs" dxfId="140" priority="30" stopIfTrue="1" operator="lessThan">
      <formula>0</formula>
    </cfRule>
  </conditionalFormatting>
  <conditionalFormatting sqref="B9:F9">
    <cfRule type="cellIs" dxfId="139" priority="29" stopIfTrue="1" operator="lessThan">
      <formula>0</formula>
    </cfRule>
  </conditionalFormatting>
  <conditionalFormatting sqref="B10:F10">
    <cfRule type="cellIs" dxfId="138" priority="28" stopIfTrue="1" operator="lessThan">
      <formula>0</formula>
    </cfRule>
  </conditionalFormatting>
  <conditionalFormatting sqref="B12:F12">
    <cfRule type="cellIs" dxfId="137" priority="27" stopIfTrue="1" operator="lessThan">
      <formula>0</formula>
    </cfRule>
  </conditionalFormatting>
  <conditionalFormatting sqref="B13:F13">
    <cfRule type="cellIs" dxfId="136" priority="26" stopIfTrue="1" operator="lessThan">
      <formula>0</formula>
    </cfRule>
  </conditionalFormatting>
  <conditionalFormatting sqref="B15:F15">
    <cfRule type="cellIs" dxfId="135" priority="25" stopIfTrue="1" operator="lessThan">
      <formula>0</formula>
    </cfRule>
  </conditionalFormatting>
  <conditionalFormatting sqref="B20:F20">
    <cfRule type="cellIs" dxfId="134" priority="24" stopIfTrue="1" operator="lessThan">
      <formula>0</formula>
    </cfRule>
  </conditionalFormatting>
  <conditionalFormatting sqref="B27:D27">
    <cfRule type="cellIs" dxfId="133" priority="23" stopIfTrue="1" operator="lessThan">
      <formula>0</formula>
    </cfRule>
  </conditionalFormatting>
  <conditionalFormatting sqref="B30:F30">
    <cfRule type="cellIs" dxfId="132" priority="22" stopIfTrue="1" operator="lessThan">
      <formula>0</formula>
    </cfRule>
  </conditionalFormatting>
  <conditionalFormatting sqref="E27:F27">
    <cfRule type="cellIs" dxfId="131" priority="21" stopIfTrue="1" operator="lessThan">
      <formula>0</formula>
    </cfRule>
  </conditionalFormatting>
  <conditionalFormatting sqref="B31:F31">
    <cfRule type="cellIs" dxfId="130" priority="20" stopIfTrue="1" operator="lessThan">
      <formula>0</formula>
    </cfRule>
  </conditionalFormatting>
  <conditionalFormatting sqref="B32:F32">
    <cfRule type="cellIs" dxfId="129" priority="19" stopIfTrue="1" operator="lessThan">
      <formula>0</formula>
    </cfRule>
  </conditionalFormatting>
  <conditionalFormatting sqref="B33:F33">
    <cfRule type="cellIs" dxfId="128" priority="18" stopIfTrue="1" operator="lessThan">
      <formula>0</formula>
    </cfRule>
  </conditionalFormatting>
  <conditionalFormatting sqref="B38:F43">
    <cfRule type="cellIs" dxfId="127" priority="17" stopIfTrue="1" operator="lessThan">
      <formula>0</formula>
    </cfRule>
  </conditionalFormatting>
  <conditionalFormatting sqref="B51:F51">
    <cfRule type="cellIs" dxfId="126" priority="16" stopIfTrue="1" operator="lessThan">
      <formula>0</formula>
    </cfRule>
  </conditionalFormatting>
  <conditionalFormatting sqref="B55:F55">
    <cfRule type="cellIs" dxfId="125" priority="15" stopIfTrue="1" operator="lessThan">
      <formula>0</formula>
    </cfRule>
  </conditionalFormatting>
  <conditionalFormatting sqref="B56:F56">
    <cfRule type="cellIs" dxfId="124" priority="14" stopIfTrue="1" operator="lessThan">
      <formula>0</formula>
    </cfRule>
  </conditionalFormatting>
  <conditionalFormatting sqref="B57:F57">
    <cfRule type="cellIs" dxfId="123" priority="13" stopIfTrue="1" operator="lessThan">
      <formula>0</formula>
    </cfRule>
  </conditionalFormatting>
  <conditionalFormatting sqref="B58:F59">
    <cfRule type="cellIs" dxfId="122" priority="12" stopIfTrue="1" operator="lessThan">
      <formula>0</formula>
    </cfRule>
  </conditionalFormatting>
  <conditionalFormatting sqref="B62:F62">
    <cfRule type="cellIs" dxfId="121" priority="11" stopIfTrue="1" operator="lessThan">
      <formula>0</formula>
    </cfRule>
  </conditionalFormatting>
  <conditionalFormatting sqref="B75:F75">
    <cfRule type="cellIs" dxfId="120" priority="10" stopIfTrue="1" operator="lessThan">
      <formula>0</formula>
    </cfRule>
  </conditionalFormatting>
  <conditionalFormatting sqref="B80:F81">
    <cfRule type="cellIs" dxfId="119" priority="9" stopIfTrue="1" operator="lessThan">
      <formula>0</formula>
    </cfRule>
  </conditionalFormatting>
  <conditionalFormatting sqref="B90:F90">
    <cfRule type="cellIs" dxfId="118" priority="8" stopIfTrue="1" operator="lessThan">
      <formula>0</formula>
    </cfRule>
  </conditionalFormatting>
  <conditionalFormatting sqref="B93:F93">
    <cfRule type="cellIs" dxfId="117" priority="7" stopIfTrue="1" operator="lessThan">
      <formula>0</formula>
    </cfRule>
  </conditionalFormatting>
  <conditionalFormatting sqref="B94:F94">
    <cfRule type="cellIs" dxfId="116" priority="6" stopIfTrue="1" operator="lessThan">
      <formula>0</formula>
    </cfRule>
  </conditionalFormatting>
  <conditionalFormatting sqref="B95:F95">
    <cfRule type="cellIs" dxfId="115" priority="5" stopIfTrue="1" operator="lessThan">
      <formula>0</formula>
    </cfRule>
  </conditionalFormatting>
  <conditionalFormatting sqref="B97:F97">
    <cfRule type="cellIs" dxfId="114" priority="4" stopIfTrue="1" operator="lessThan">
      <formula>0</formula>
    </cfRule>
  </conditionalFormatting>
  <conditionalFormatting sqref="B91:F91">
    <cfRule type="cellIs" dxfId="113" priority="3" stopIfTrue="1" operator="lessThan">
      <formula>0</formula>
    </cfRule>
  </conditionalFormatting>
  <conditionalFormatting sqref="B99:F99">
    <cfRule type="cellIs" dxfId="112" priority="2" stopIfTrue="1" operator="lessThan">
      <formula>0</formula>
    </cfRule>
  </conditionalFormatting>
  <conditionalFormatting sqref="B105:F105">
    <cfRule type="cellIs" dxfId="111" priority="1" stopIfTrue="1" operator="lessThan">
      <formula>0</formula>
    </cfRule>
  </conditionalFormatting>
  <hyperlinks>
    <hyperlink ref="R11" r:id="rId1" display="https://baike.baidu.com/item/%E5%87%80%E5%88%A9%E6%B6%A6" xr:uid="{00000000-0004-0000-0F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42"/>
  <sheetViews>
    <sheetView topLeftCell="A5" zoomScaleNormal="100" workbookViewId="0">
      <selection activeCell="I25" sqref="I25"/>
    </sheetView>
  </sheetViews>
  <sheetFormatPr defaultColWidth="9" defaultRowHeight="13"/>
  <cols>
    <col min="1" max="1" width="6.6328125" style="361" customWidth="1"/>
    <col min="2" max="2" width="28.26953125" style="342" bestFit="1" customWidth="1"/>
    <col min="3" max="6" width="14.453125" style="342" customWidth="1"/>
    <col min="7" max="7" width="15.6328125" style="342" customWidth="1"/>
    <col min="8" max="16384" width="9" style="342"/>
  </cols>
  <sheetData>
    <row r="1" spans="1:7" ht="72" customHeight="1">
      <c r="A1" s="513" t="s">
        <v>883</v>
      </c>
      <c r="B1" s="514"/>
      <c r="C1" s="514"/>
      <c r="D1" s="514"/>
      <c r="E1" s="514"/>
      <c r="F1" s="514"/>
      <c r="G1" s="514"/>
    </row>
    <row r="2" spans="1:7" ht="8.25" customHeight="1" thickBot="1">
      <c r="A2" s="343"/>
      <c r="B2" s="343"/>
      <c r="C2" s="343"/>
      <c r="D2" s="343"/>
      <c r="E2" s="343"/>
      <c r="F2" s="343"/>
      <c r="G2" s="343"/>
    </row>
    <row r="3" spans="1:7" s="344" customFormat="1" ht="25" customHeight="1">
      <c r="A3" s="515" t="s">
        <v>884</v>
      </c>
      <c r="B3" s="517" t="s">
        <v>943</v>
      </c>
      <c r="C3" s="519" t="s">
        <v>885</v>
      </c>
      <c r="D3" s="519"/>
      <c r="E3" s="519" t="s">
        <v>886</v>
      </c>
      <c r="F3" s="519"/>
      <c r="G3" s="520" t="s">
        <v>887</v>
      </c>
    </row>
    <row r="4" spans="1:7" s="344" customFormat="1" ht="25" customHeight="1">
      <c r="A4" s="516"/>
      <c r="B4" s="518"/>
      <c r="C4" s="345" t="s">
        <v>888</v>
      </c>
      <c r="D4" s="346" t="s">
        <v>75</v>
      </c>
      <c r="E4" s="345" t="s">
        <v>888</v>
      </c>
      <c r="F4" s="346" t="s">
        <v>75</v>
      </c>
      <c r="G4" s="521"/>
    </row>
    <row r="5" spans="1:7" s="344" customFormat="1" ht="25" customHeight="1">
      <c r="A5" s="347">
        <v>1</v>
      </c>
      <c r="B5" s="348" t="s">
        <v>889</v>
      </c>
      <c r="C5" s="349">
        <v>12</v>
      </c>
      <c r="D5" s="350">
        <v>20.5</v>
      </c>
      <c r="E5" s="349">
        <v>77</v>
      </c>
      <c r="F5" s="350">
        <v>28.62</v>
      </c>
      <c r="G5" s="351">
        <f t="shared" ref="G5:G40" si="0">1-D5/F5</f>
        <v>0.28371767994409502</v>
      </c>
    </row>
    <row r="6" spans="1:7" s="344" customFormat="1" ht="25" customHeight="1">
      <c r="A6" s="347">
        <v>2</v>
      </c>
      <c r="B6" s="352" t="s">
        <v>890</v>
      </c>
      <c r="C6" s="349">
        <v>23</v>
      </c>
      <c r="D6" s="350">
        <v>15.64</v>
      </c>
      <c r="E6" s="349">
        <v>78</v>
      </c>
      <c r="F6" s="350">
        <v>20.52</v>
      </c>
      <c r="G6" s="351">
        <f t="shared" si="0"/>
        <v>0.23781676413255359</v>
      </c>
    </row>
    <row r="7" spans="1:7" s="344" customFormat="1" ht="25" customHeight="1">
      <c r="A7" s="347">
        <v>3</v>
      </c>
      <c r="B7" s="348" t="s">
        <v>891</v>
      </c>
      <c r="C7" s="349">
        <v>17</v>
      </c>
      <c r="D7" s="350">
        <v>15.43</v>
      </c>
      <c r="E7" s="349">
        <v>13</v>
      </c>
      <c r="F7" s="350">
        <v>22.58</v>
      </c>
      <c r="G7" s="351">
        <f t="shared" si="0"/>
        <v>0.31665190434012391</v>
      </c>
    </row>
    <row r="8" spans="1:7" s="344" customFormat="1" ht="25" customHeight="1">
      <c r="A8" s="347">
        <v>4</v>
      </c>
      <c r="B8" s="348" t="s">
        <v>892</v>
      </c>
      <c r="C8" s="349">
        <v>32</v>
      </c>
      <c r="D8" s="350">
        <v>11.23</v>
      </c>
      <c r="E8" s="349">
        <v>117</v>
      </c>
      <c r="F8" s="350">
        <v>15.4</v>
      </c>
      <c r="G8" s="351">
        <f t="shared" si="0"/>
        <v>0.27077922077922079</v>
      </c>
    </row>
    <row r="9" spans="1:7" s="344" customFormat="1" ht="25" customHeight="1">
      <c r="A9" s="347">
        <v>5</v>
      </c>
      <c r="B9" s="348" t="s">
        <v>893</v>
      </c>
      <c r="C9" s="349">
        <v>22</v>
      </c>
      <c r="D9" s="350">
        <v>5.45</v>
      </c>
      <c r="E9" s="349">
        <v>95</v>
      </c>
      <c r="F9" s="350">
        <v>9.2799999999999994</v>
      </c>
      <c r="G9" s="351">
        <f t="shared" si="0"/>
        <v>0.41271551724137923</v>
      </c>
    </row>
    <row r="10" spans="1:7" s="344" customFormat="1" ht="25" customHeight="1">
      <c r="A10" s="347">
        <v>6</v>
      </c>
      <c r="B10" s="348" t="s">
        <v>894</v>
      </c>
      <c r="C10" s="349">
        <v>8</v>
      </c>
      <c r="D10" s="350">
        <v>16.5</v>
      </c>
      <c r="E10" s="349">
        <v>82</v>
      </c>
      <c r="F10" s="350">
        <v>21.2</v>
      </c>
      <c r="G10" s="351">
        <f t="shared" si="0"/>
        <v>0.22169811320754718</v>
      </c>
    </row>
    <row r="11" spans="1:7" s="344" customFormat="1" ht="25" customHeight="1">
      <c r="A11" s="347">
        <v>7</v>
      </c>
      <c r="B11" s="348" t="s">
        <v>895</v>
      </c>
      <c r="C11" s="349">
        <v>3</v>
      </c>
      <c r="D11" s="350">
        <v>32.4</v>
      </c>
      <c r="E11" s="349">
        <v>9</v>
      </c>
      <c r="F11" s="350">
        <v>45</v>
      </c>
      <c r="G11" s="351">
        <f t="shared" si="0"/>
        <v>0.28000000000000003</v>
      </c>
    </row>
    <row r="12" spans="1:7" s="344" customFormat="1" ht="25" customHeight="1">
      <c r="A12" s="347">
        <v>8</v>
      </c>
      <c r="B12" s="348" t="s">
        <v>896</v>
      </c>
      <c r="C12" s="349">
        <v>15</v>
      </c>
      <c r="D12" s="350">
        <v>6.56</v>
      </c>
      <c r="E12" s="349">
        <v>40</v>
      </c>
      <c r="F12" s="350">
        <v>7.89</v>
      </c>
      <c r="G12" s="351">
        <f t="shared" si="0"/>
        <v>0.16856780735107735</v>
      </c>
    </row>
    <row r="13" spans="1:7" s="344" customFormat="1" ht="25" customHeight="1">
      <c r="A13" s="347">
        <v>9</v>
      </c>
      <c r="B13" s="348" t="s">
        <v>897</v>
      </c>
      <c r="C13" s="349">
        <v>20</v>
      </c>
      <c r="D13" s="350">
        <v>19.8</v>
      </c>
      <c r="E13" s="349">
        <v>15</v>
      </c>
      <c r="F13" s="350">
        <v>28.67</v>
      </c>
      <c r="G13" s="351">
        <f t="shared" si="0"/>
        <v>0.30938262992675269</v>
      </c>
    </row>
    <row r="14" spans="1:7" s="344" customFormat="1" ht="25" customHeight="1">
      <c r="A14" s="347">
        <v>10</v>
      </c>
      <c r="B14" s="348" t="s">
        <v>898</v>
      </c>
      <c r="C14" s="349">
        <v>8</v>
      </c>
      <c r="D14" s="350">
        <v>17.89</v>
      </c>
      <c r="E14" s="349">
        <v>55</v>
      </c>
      <c r="F14" s="350">
        <v>26.75</v>
      </c>
      <c r="G14" s="351">
        <f t="shared" si="0"/>
        <v>0.33121495327102801</v>
      </c>
    </row>
    <row r="15" spans="1:7" s="344" customFormat="1" ht="25" customHeight="1">
      <c r="A15" s="347">
        <v>11</v>
      </c>
      <c r="B15" s="348" t="s">
        <v>899</v>
      </c>
      <c r="C15" s="349">
        <v>28</v>
      </c>
      <c r="D15" s="350">
        <v>25.92</v>
      </c>
      <c r="E15" s="349">
        <v>55</v>
      </c>
      <c r="F15" s="350">
        <v>48.35</v>
      </c>
      <c r="G15" s="351">
        <f t="shared" si="0"/>
        <v>0.46390899689762144</v>
      </c>
    </row>
    <row r="16" spans="1:7" s="344" customFormat="1" ht="25" customHeight="1">
      <c r="A16" s="347">
        <v>12</v>
      </c>
      <c r="B16" s="348" t="s">
        <v>900</v>
      </c>
      <c r="C16" s="349">
        <v>15</v>
      </c>
      <c r="D16" s="350">
        <v>11.93</v>
      </c>
      <c r="E16" s="349">
        <v>42</v>
      </c>
      <c r="F16" s="350">
        <v>16.27</v>
      </c>
      <c r="G16" s="351">
        <f t="shared" si="0"/>
        <v>0.26674861708666253</v>
      </c>
    </row>
    <row r="17" spans="1:7" s="344" customFormat="1" ht="25" customHeight="1">
      <c r="A17" s="347">
        <v>13</v>
      </c>
      <c r="B17" s="348" t="s">
        <v>901</v>
      </c>
      <c r="C17" s="349">
        <v>35</v>
      </c>
      <c r="D17" s="350">
        <v>17.47</v>
      </c>
      <c r="E17" s="349">
        <v>95</v>
      </c>
      <c r="F17" s="350">
        <v>28.95</v>
      </c>
      <c r="G17" s="351">
        <f t="shared" si="0"/>
        <v>0.39654576856649393</v>
      </c>
    </row>
    <row r="18" spans="1:7" s="344" customFormat="1" ht="25" customHeight="1">
      <c r="A18" s="347">
        <v>14</v>
      </c>
      <c r="B18" s="348" t="s">
        <v>902</v>
      </c>
      <c r="C18" s="349">
        <v>45</v>
      </c>
      <c r="D18" s="350">
        <v>15.12</v>
      </c>
      <c r="E18" s="349">
        <v>82</v>
      </c>
      <c r="F18" s="350">
        <v>25.3</v>
      </c>
      <c r="G18" s="351">
        <f t="shared" si="0"/>
        <v>0.40237154150197629</v>
      </c>
    </row>
    <row r="19" spans="1:7" s="344" customFormat="1" ht="25" customHeight="1">
      <c r="A19" s="347">
        <v>15</v>
      </c>
      <c r="B19" s="348" t="s">
        <v>903</v>
      </c>
      <c r="C19" s="349">
        <v>19</v>
      </c>
      <c r="D19" s="350">
        <v>17.829999999999998</v>
      </c>
      <c r="E19" s="349">
        <v>53</v>
      </c>
      <c r="F19" s="350">
        <v>23.45</v>
      </c>
      <c r="G19" s="351">
        <f t="shared" si="0"/>
        <v>0.23965884861407249</v>
      </c>
    </row>
    <row r="20" spans="1:7" s="344" customFormat="1" ht="25" customHeight="1">
      <c r="A20" s="347">
        <v>16</v>
      </c>
      <c r="B20" s="348" t="s">
        <v>904</v>
      </c>
      <c r="C20" s="349">
        <v>19</v>
      </c>
      <c r="D20" s="350">
        <v>55.78</v>
      </c>
      <c r="E20" s="349">
        <v>12</v>
      </c>
      <c r="F20" s="350">
        <v>73.2</v>
      </c>
      <c r="G20" s="351">
        <f t="shared" si="0"/>
        <v>0.2379781420765027</v>
      </c>
    </row>
    <row r="21" spans="1:7" s="344" customFormat="1" ht="25" customHeight="1">
      <c r="A21" s="347">
        <v>17</v>
      </c>
      <c r="B21" s="348" t="s">
        <v>905</v>
      </c>
      <c r="C21" s="349">
        <v>12</v>
      </c>
      <c r="D21" s="350">
        <v>13.2</v>
      </c>
      <c r="E21" s="349">
        <v>55</v>
      </c>
      <c r="F21" s="350">
        <v>28.45</v>
      </c>
      <c r="G21" s="351">
        <f t="shared" si="0"/>
        <v>0.53602811950790863</v>
      </c>
    </row>
    <row r="22" spans="1:7" s="344" customFormat="1" ht="25" customHeight="1">
      <c r="A22" s="347">
        <v>18</v>
      </c>
      <c r="B22" s="348" t="s">
        <v>906</v>
      </c>
      <c r="C22" s="349">
        <v>25</v>
      </c>
      <c r="D22" s="350">
        <v>13.73</v>
      </c>
      <c r="E22" s="349">
        <v>70</v>
      </c>
      <c r="F22" s="350">
        <v>19.45</v>
      </c>
      <c r="G22" s="351">
        <f t="shared" si="0"/>
        <v>0.29408740359897168</v>
      </c>
    </row>
    <row r="23" spans="1:7" s="344" customFormat="1" ht="25" customHeight="1">
      <c r="A23" s="347">
        <v>19</v>
      </c>
      <c r="B23" s="348" t="s">
        <v>907</v>
      </c>
      <c r="C23" s="349">
        <v>112</v>
      </c>
      <c r="D23" s="350">
        <v>36.450000000000003</v>
      </c>
      <c r="E23" s="349">
        <v>245</v>
      </c>
      <c r="F23" s="350">
        <v>58.93</v>
      </c>
      <c r="G23" s="351">
        <f t="shared" si="0"/>
        <v>0.38146954013236034</v>
      </c>
    </row>
    <row r="24" spans="1:7" s="344" customFormat="1" ht="25" customHeight="1">
      <c r="A24" s="347">
        <v>20</v>
      </c>
      <c r="B24" s="348" t="s">
        <v>908</v>
      </c>
      <c r="C24" s="349">
        <v>53</v>
      </c>
      <c r="D24" s="350">
        <v>25.6</v>
      </c>
      <c r="E24" s="349">
        <v>259</v>
      </c>
      <c r="F24" s="350">
        <v>40.43</v>
      </c>
      <c r="G24" s="351">
        <f t="shared" si="0"/>
        <v>0.36680682661390052</v>
      </c>
    </row>
    <row r="25" spans="1:7" s="344" customFormat="1" ht="25" customHeight="1">
      <c r="A25" s="347">
        <v>21</v>
      </c>
      <c r="B25" s="348" t="s">
        <v>909</v>
      </c>
      <c r="C25" s="349">
        <v>5</v>
      </c>
      <c r="D25" s="350">
        <v>25.4</v>
      </c>
      <c r="E25" s="349">
        <v>39</v>
      </c>
      <c r="F25" s="350">
        <v>32.799999999999997</v>
      </c>
      <c r="G25" s="351">
        <f t="shared" si="0"/>
        <v>0.22560975609756095</v>
      </c>
    </row>
    <row r="26" spans="1:7" s="344" customFormat="1" ht="25" customHeight="1">
      <c r="A26" s="347">
        <v>22</v>
      </c>
      <c r="B26" s="348" t="s">
        <v>910</v>
      </c>
      <c r="C26" s="349">
        <v>15</v>
      </c>
      <c r="D26" s="350">
        <v>13.98</v>
      </c>
      <c r="E26" s="349">
        <v>101</v>
      </c>
      <c r="F26" s="350">
        <v>18.72</v>
      </c>
      <c r="G26" s="351">
        <f t="shared" si="0"/>
        <v>0.25320512820512808</v>
      </c>
    </row>
    <row r="27" spans="1:7" s="344" customFormat="1" ht="25" customHeight="1">
      <c r="A27" s="347">
        <v>23</v>
      </c>
      <c r="B27" s="348" t="s">
        <v>911</v>
      </c>
      <c r="C27" s="349">
        <v>8</v>
      </c>
      <c r="D27" s="350">
        <v>15.48</v>
      </c>
      <c r="E27" s="349">
        <v>34</v>
      </c>
      <c r="F27" s="350">
        <v>20.77</v>
      </c>
      <c r="G27" s="351">
        <f t="shared" si="0"/>
        <v>0.25469427058257099</v>
      </c>
    </row>
    <row r="28" spans="1:7" s="344" customFormat="1" ht="25" customHeight="1">
      <c r="A28" s="347">
        <v>24</v>
      </c>
      <c r="B28" s="348" t="s">
        <v>912</v>
      </c>
      <c r="C28" s="349">
        <v>22</v>
      </c>
      <c r="D28" s="350">
        <v>18.77</v>
      </c>
      <c r="E28" s="349">
        <v>253</v>
      </c>
      <c r="F28" s="350">
        <v>26.45</v>
      </c>
      <c r="G28" s="351">
        <f t="shared" si="0"/>
        <v>0.29035916824196595</v>
      </c>
    </row>
    <row r="29" spans="1:7" s="344" customFormat="1" ht="30">
      <c r="A29" s="347">
        <v>25</v>
      </c>
      <c r="B29" s="353" t="s">
        <v>913</v>
      </c>
      <c r="C29" s="349">
        <v>87</v>
      </c>
      <c r="D29" s="350">
        <v>23.11</v>
      </c>
      <c r="E29" s="349">
        <v>289</v>
      </c>
      <c r="F29" s="350">
        <v>40.5</v>
      </c>
      <c r="G29" s="351">
        <f t="shared" si="0"/>
        <v>0.42938271604938272</v>
      </c>
    </row>
    <row r="30" spans="1:7" s="344" customFormat="1" ht="25" customHeight="1">
      <c r="A30" s="347">
        <v>26</v>
      </c>
      <c r="B30" s="348" t="s">
        <v>914</v>
      </c>
      <c r="C30" s="349">
        <v>32</v>
      </c>
      <c r="D30" s="350">
        <v>14.44</v>
      </c>
      <c r="E30" s="349">
        <v>65</v>
      </c>
      <c r="F30" s="350">
        <v>19.95</v>
      </c>
      <c r="G30" s="351">
        <f t="shared" si="0"/>
        <v>0.27619047619047621</v>
      </c>
    </row>
    <row r="31" spans="1:7" s="344" customFormat="1" ht="25" customHeight="1">
      <c r="A31" s="347">
        <v>27</v>
      </c>
      <c r="B31" s="348" t="s">
        <v>915</v>
      </c>
      <c r="C31" s="349">
        <v>15</v>
      </c>
      <c r="D31" s="350">
        <v>17.66</v>
      </c>
      <c r="E31" s="349">
        <v>134</v>
      </c>
      <c r="F31" s="350">
        <v>28.87</v>
      </c>
      <c r="G31" s="351">
        <f t="shared" si="0"/>
        <v>0.38829234499480436</v>
      </c>
    </row>
    <row r="32" spans="1:7" s="344" customFormat="1" ht="25" customHeight="1">
      <c r="A32" s="347">
        <v>28</v>
      </c>
      <c r="B32" s="348" t="s">
        <v>916</v>
      </c>
      <c r="C32" s="349">
        <v>46</v>
      </c>
      <c r="D32" s="350">
        <v>23.65</v>
      </c>
      <c r="E32" s="349">
        <v>59</v>
      </c>
      <c r="F32" s="350">
        <v>38.9</v>
      </c>
      <c r="G32" s="351">
        <f t="shared" si="0"/>
        <v>0.39203084832904889</v>
      </c>
    </row>
    <row r="33" spans="1:7" s="344" customFormat="1" ht="25" customHeight="1">
      <c r="A33" s="347">
        <v>29</v>
      </c>
      <c r="B33" s="348" t="s">
        <v>917</v>
      </c>
      <c r="C33" s="349">
        <v>38</v>
      </c>
      <c r="D33" s="350">
        <v>18.75</v>
      </c>
      <c r="E33" s="349">
        <v>123</v>
      </c>
      <c r="F33" s="350">
        <v>25.43</v>
      </c>
      <c r="G33" s="351">
        <f t="shared" si="0"/>
        <v>0.26268187180495473</v>
      </c>
    </row>
    <row r="34" spans="1:7" s="344" customFormat="1" ht="25" customHeight="1">
      <c r="A34" s="347">
        <v>30</v>
      </c>
      <c r="B34" s="348" t="s">
        <v>918</v>
      </c>
      <c r="C34" s="349">
        <v>20</v>
      </c>
      <c r="D34" s="350">
        <v>16.61</v>
      </c>
      <c r="E34" s="349">
        <v>78</v>
      </c>
      <c r="F34" s="350">
        <v>22.35</v>
      </c>
      <c r="G34" s="351">
        <f t="shared" si="0"/>
        <v>0.25682326621923945</v>
      </c>
    </row>
    <row r="35" spans="1:7" s="344" customFormat="1" ht="25" customHeight="1">
      <c r="A35" s="347">
        <v>31</v>
      </c>
      <c r="B35" s="348" t="s">
        <v>919</v>
      </c>
      <c r="C35" s="349">
        <v>59</v>
      </c>
      <c r="D35" s="350">
        <v>32.1</v>
      </c>
      <c r="E35" s="349">
        <v>224</v>
      </c>
      <c r="F35" s="350">
        <v>54.98</v>
      </c>
      <c r="G35" s="351">
        <f t="shared" si="0"/>
        <v>0.41615132775554742</v>
      </c>
    </row>
    <row r="36" spans="1:7" s="344" customFormat="1" ht="25" customHeight="1">
      <c r="A36" s="347">
        <v>32</v>
      </c>
      <c r="B36" s="348" t="s">
        <v>920</v>
      </c>
      <c r="C36" s="349">
        <v>12</v>
      </c>
      <c r="D36" s="350">
        <v>19.88</v>
      </c>
      <c r="E36" s="349">
        <v>57</v>
      </c>
      <c r="F36" s="350">
        <v>33.340000000000003</v>
      </c>
      <c r="G36" s="351">
        <f t="shared" si="0"/>
        <v>0.40371925614877036</v>
      </c>
    </row>
    <row r="37" spans="1:7" s="344" customFormat="1" ht="25" customHeight="1">
      <c r="A37" s="347">
        <v>33</v>
      </c>
      <c r="B37" s="348" t="s">
        <v>921</v>
      </c>
      <c r="C37" s="349">
        <v>23</v>
      </c>
      <c r="D37" s="350">
        <v>25.76</v>
      </c>
      <c r="E37" s="349">
        <v>70</v>
      </c>
      <c r="F37" s="350">
        <v>39.86</v>
      </c>
      <c r="G37" s="351">
        <f t="shared" si="0"/>
        <v>0.35373808329152023</v>
      </c>
    </row>
    <row r="38" spans="1:7" s="344" customFormat="1" ht="25" customHeight="1">
      <c r="A38" s="347">
        <v>34</v>
      </c>
      <c r="B38" s="348" t="s">
        <v>922</v>
      </c>
      <c r="C38" s="349">
        <v>45</v>
      </c>
      <c r="D38" s="350">
        <v>27.37</v>
      </c>
      <c r="E38" s="349">
        <v>253</v>
      </c>
      <c r="F38" s="350">
        <v>39.44</v>
      </c>
      <c r="G38" s="351">
        <f t="shared" si="0"/>
        <v>0.30603448275862066</v>
      </c>
    </row>
    <row r="39" spans="1:7" s="344" customFormat="1" ht="25" customHeight="1">
      <c r="A39" s="347">
        <v>35</v>
      </c>
      <c r="B39" s="348" t="s">
        <v>923</v>
      </c>
      <c r="C39" s="349">
        <v>32</v>
      </c>
      <c r="D39" s="350">
        <v>18.55</v>
      </c>
      <c r="E39" s="349">
        <v>50</v>
      </c>
      <c r="F39" s="350">
        <v>24.35</v>
      </c>
      <c r="G39" s="351">
        <f t="shared" si="0"/>
        <v>0.23819301848049279</v>
      </c>
    </row>
    <row r="40" spans="1:7" s="344" customFormat="1" ht="25" customHeight="1">
      <c r="A40" s="347">
        <v>36</v>
      </c>
      <c r="B40" s="348" t="s">
        <v>924</v>
      </c>
      <c r="C40" s="349">
        <v>9</v>
      </c>
      <c r="D40" s="350">
        <v>15.45</v>
      </c>
      <c r="E40" s="349">
        <v>3</v>
      </c>
      <c r="F40" s="350">
        <v>20.9</v>
      </c>
      <c r="G40" s="351">
        <f t="shared" si="0"/>
        <v>0.26076555023923442</v>
      </c>
    </row>
    <row r="41" spans="1:7" s="344" customFormat="1" ht="25" customHeight="1" thickBot="1">
      <c r="A41" s="354">
        <v>37</v>
      </c>
      <c r="B41" s="355" t="s">
        <v>925</v>
      </c>
      <c r="C41" s="356">
        <f>SUM(C5:C40)</f>
        <v>991</v>
      </c>
      <c r="D41" s="357">
        <f>AVERAGE(D5:D40)</f>
        <v>20.038611111111113</v>
      </c>
      <c r="E41" s="358">
        <f>SUM(E5:E40)</f>
        <v>3381</v>
      </c>
      <c r="F41" s="357">
        <f>AVERAGE(F5:F40)</f>
        <v>29.897222222222222</v>
      </c>
      <c r="G41" s="359">
        <f>AVERAGE(G5:G40)</f>
        <v>0.31738944333832131</v>
      </c>
    </row>
    <row r="42" spans="1:7" s="344" customFormat="1" ht="18" customHeight="1">
      <c r="A42" s="511" t="s">
        <v>926</v>
      </c>
      <c r="B42" s="512"/>
      <c r="C42" s="512"/>
      <c r="F42" s="360"/>
    </row>
  </sheetData>
  <mergeCells count="7">
    <mergeCell ref="A42:C42"/>
    <mergeCell ref="A1:G1"/>
    <mergeCell ref="A3:A4"/>
    <mergeCell ref="B3:B4"/>
    <mergeCell ref="C3:D3"/>
    <mergeCell ref="E3:F3"/>
    <mergeCell ref="G3:G4"/>
  </mergeCells>
  <phoneticPr fontId="2" type="noConversion"/>
  <printOptions horizontalCentered="1"/>
  <pageMargins left="0.70866141732283472" right="0.70866141732283472" top="0.74803149606299213" bottom="0.74803149606299213" header="0.31496062992125984" footer="0.31496062992125984"/>
  <pageSetup paperSize="9" orientation="landscape" verticalDpi="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A4CE3-FEB2-4081-A375-70395B652E88}">
  <sheetPr>
    <pageSetUpPr fitToPage="1"/>
  </sheetPr>
  <dimension ref="A1:BN346"/>
  <sheetViews>
    <sheetView zoomScaleNormal="100" workbookViewId="0">
      <selection activeCell="G21" sqref="G21"/>
    </sheetView>
  </sheetViews>
  <sheetFormatPr defaultColWidth="9" defaultRowHeight="12"/>
  <cols>
    <col min="1" max="1" width="45.90625" style="313" customWidth="1"/>
    <col min="2" max="7" width="10.26953125" style="313" bestFit="1" customWidth="1"/>
    <col min="8" max="9" width="10.26953125" style="313" customWidth="1"/>
    <col min="10" max="10" width="10.26953125" style="313" bestFit="1" customWidth="1"/>
    <col min="11" max="12" width="10.26953125" style="313" customWidth="1"/>
    <col min="13" max="13" width="9" style="313" customWidth="1"/>
    <col min="14" max="25" width="10.26953125" style="313" customWidth="1"/>
    <col min="26" max="26" width="9" style="313"/>
    <col min="27" max="31" width="10.26953125" style="313" bestFit="1" customWidth="1"/>
    <col min="32" max="32" width="10.26953125" style="313" customWidth="1"/>
    <col min="33" max="33" width="10.26953125" style="313" bestFit="1" customWidth="1"/>
    <col min="34" max="36" width="10.26953125" style="313" customWidth="1"/>
    <col min="37" max="37" width="10.26953125" style="313" bestFit="1" customWidth="1"/>
    <col min="38" max="39" width="10.26953125" style="313" customWidth="1"/>
    <col min="40" max="40" width="9" style="313"/>
    <col min="41" max="45" width="10.26953125" style="313" bestFit="1" customWidth="1"/>
    <col min="46" max="46" width="12" style="313" customWidth="1"/>
    <col min="47" max="49" width="10.26953125" style="313" customWidth="1"/>
    <col min="50" max="50" width="11.6328125" style="313" customWidth="1"/>
    <col min="51" max="52" width="10.26953125" style="313" customWidth="1"/>
    <col min="53" max="53" width="9" style="313"/>
    <col min="54" max="59" width="10.26953125" style="313" customWidth="1"/>
    <col min="60" max="60" width="11.36328125" style="313" bestFit="1" customWidth="1"/>
    <col min="61" max="63" width="10.26953125" style="313" customWidth="1"/>
    <col min="64" max="64" width="11.36328125" style="313" bestFit="1" customWidth="1"/>
    <col min="65" max="66" width="10.26953125" style="313" customWidth="1"/>
    <col min="67" max="67" width="9" style="313" customWidth="1"/>
    <col min="68" max="16384" width="9" style="313"/>
  </cols>
  <sheetData>
    <row r="1" spans="1:66" s="310" customFormat="1">
      <c r="A1" s="310" t="s">
        <v>59</v>
      </c>
      <c r="B1" s="309" t="s">
        <v>827</v>
      </c>
      <c r="N1" s="309" t="s">
        <v>836</v>
      </c>
      <c r="AA1" s="309" t="s">
        <v>829</v>
      </c>
      <c r="AO1" s="309" t="s">
        <v>831</v>
      </c>
      <c r="BB1" s="309" t="s">
        <v>837</v>
      </c>
    </row>
    <row r="2" spans="1:66" s="310" customFormat="1">
      <c r="A2" s="310" t="s">
        <v>421</v>
      </c>
      <c r="B2" s="310" t="s">
        <v>828</v>
      </c>
      <c r="N2" s="310" t="s">
        <v>880</v>
      </c>
      <c r="AA2" s="310" t="s">
        <v>830</v>
      </c>
      <c r="AO2" s="310" t="s">
        <v>832</v>
      </c>
      <c r="BB2" s="310" t="s">
        <v>879</v>
      </c>
    </row>
    <row r="3" spans="1:66" s="310" customFormat="1">
      <c r="A3" s="310" t="s">
        <v>422</v>
      </c>
      <c r="B3" s="311">
        <v>42369</v>
      </c>
      <c r="C3" s="311">
        <v>42735</v>
      </c>
      <c r="D3" s="311">
        <v>43100</v>
      </c>
      <c r="E3" s="311">
        <v>43465</v>
      </c>
      <c r="F3" s="311">
        <v>43830</v>
      </c>
      <c r="G3" s="311">
        <v>44196</v>
      </c>
      <c r="H3" s="311" t="s">
        <v>838</v>
      </c>
      <c r="I3" s="311" t="s">
        <v>839</v>
      </c>
      <c r="J3" s="311">
        <v>44469</v>
      </c>
      <c r="K3" s="311" t="s">
        <v>838</v>
      </c>
      <c r="L3" s="311" t="s">
        <v>839</v>
      </c>
      <c r="N3" s="311">
        <v>42369</v>
      </c>
      <c r="O3" s="311">
        <v>42735</v>
      </c>
      <c r="P3" s="311">
        <v>43100</v>
      </c>
      <c r="Q3" s="311">
        <v>43465</v>
      </c>
      <c r="R3" s="311">
        <v>43830</v>
      </c>
      <c r="S3" s="311">
        <v>44196</v>
      </c>
      <c r="T3" s="311" t="s">
        <v>838</v>
      </c>
      <c r="U3" s="311" t="s">
        <v>839</v>
      </c>
      <c r="V3" s="311"/>
      <c r="W3" s="311">
        <v>44469</v>
      </c>
      <c r="X3" s="311" t="s">
        <v>838</v>
      </c>
      <c r="Y3" s="311" t="s">
        <v>839</v>
      </c>
      <c r="AA3" s="311">
        <v>42369</v>
      </c>
      <c r="AB3" s="311">
        <v>42735</v>
      </c>
      <c r="AC3" s="311">
        <v>43100</v>
      </c>
      <c r="AD3" s="311">
        <v>43465</v>
      </c>
      <c r="AE3" s="311">
        <v>43830</v>
      </c>
      <c r="AF3" s="311"/>
      <c r="AG3" s="311">
        <v>44196</v>
      </c>
      <c r="AH3" s="311" t="s">
        <v>838</v>
      </c>
      <c r="AI3" s="311" t="s">
        <v>839</v>
      </c>
      <c r="AJ3" s="311"/>
      <c r="AK3" s="311">
        <v>44469</v>
      </c>
      <c r="AL3" s="311" t="s">
        <v>838</v>
      </c>
      <c r="AM3" s="311" t="s">
        <v>839</v>
      </c>
      <c r="AO3" s="311">
        <v>42369</v>
      </c>
      <c r="AP3" s="311">
        <v>42735</v>
      </c>
      <c r="AQ3" s="311">
        <v>43100</v>
      </c>
      <c r="AR3" s="311">
        <v>43465</v>
      </c>
      <c r="AS3" s="311">
        <v>43830</v>
      </c>
      <c r="AT3" s="311">
        <v>44196</v>
      </c>
      <c r="AU3" s="311" t="s">
        <v>838</v>
      </c>
      <c r="AV3" s="311" t="s">
        <v>839</v>
      </c>
      <c r="AW3" s="311"/>
      <c r="AX3" s="311">
        <v>44469</v>
      </c>
      <c r="AY3" s="311" t="s">
        <v>838</v>
      </c>
      <c r="AZ3" s="311" t="s">
        <v>839</v>
      </c>
      <c r="BB3" s="311">
        <v>42369</v>
      </c>
      <c r="BC3" s="311">
        <v>42735</v>
      </c>
      <c r="BD3" s="311">
        <v>43100</v>
      </c>
      <c r="BE3" s="311">
        <v>43465</v>
      </c>
      <c r="BF3" s="311">
        <v>43830</v>
      </c>
      <c r="BG3" s="311"/>
      <c r="BH3" s="311">
        <v>44196</v>
      </c>
      <c r="BI3" s="311" t="s">
        <v>838</v>
      </c>
      <c r="BJ3" s="311" t="s">
        <v>839</v>
      </c>
      <c r="BK3" s="311"/>
      <c r="BL3" s="311">
        <v>44469</v>
      </c>
      <c r="BM3" s="311" t="s">
        <v>838</v>
      </c>
      <c r="BN3" s="311" t="s">
        <v>839</v>
      </c>
    </row>
    <row r="4" spans="1:66" s="312" customFormat="1" ht="12.5" thickBot="1">
      <c r="A4" s="312" t="s">
        <v>57</v>
      </c>
      <c r="B4" s="312" t="s">
        <v>95</v>
      </c>
      <c r="C4" s="312" t="s">
        <v>95</v>
      </c>
      <c r="D4" s="312" t="s">
        <v>95</v>
      </c>
      <c r="E4" s="312" t="s">
        <v>95</v>
      </c>
      <c r="F4" s="312" t="s">
        <v>95</v>
      </c>
      <c r="G4" s="312" t="s">
        <v>95</v>
      </c>
      <c r="J4" s="312" t="s">
        <v>95</v>
      </c>
      <c r="N4" s="312" t="s">
        <v>95</v>
      </c>
      <c r="O4" s="312" t="s">
        <v>95</v>
      </c>
      <c r="P4" s="312" t="s">
        <v>95</v>
      </c>
      <c r="Q4" s="312" t="s">
        <v>95</v>
      </c>
      <c r="R4" s="312" t="s">
        <v>95</v>
      </c>
      <c r="S4" s="312" t="s">
        <v>95</v>
      </c>
      <c r="W4" s="312" t="s">
        <v>95</v>
      </c>
      <c r="AA4" s="312" t="s">
        <v>95</v>
      </c>
      <c r="AB4" s="312" t="s">
        <v>95</v>
      </c>
      <c r="AC4" s="312" t="s">
        <v>95</v>
      </c>
      <c r="AD4" s="312" t="s">
        <v>95</v>
      </c>
      <c r="AE4" s="312" t="s">
        <v>95</v>
      </c>
      <c r="AG4" s="312" t="s">
        <v>95</v>
      </c>
      <c r="AK4" s="312" t="s">
        <v>95</v>
      </c>
      <c r="AO4" s="312" t="s">
        <v>95</v>
      </c>
      <c r="AP4" s="312" t="s">
        <v>95</v>
      </c>
      <c r="AQ4" s="312" t="s">
        <v>95</v>
      </c>
      <c r="AR4" s="312" t="s">
        <v>95</v>
      </c>
      <c r="AS4" s="312" t="s">
        <v>95</v>
      </c>
      <c r="AT4" s="312" t="s">
        <v>95</v>
      </c>
      <c r="AX4" s="312" t="s">
        <v>95</v>
      </c>
      <c r="BB4" s="312" t="s">
        <v>95</v>
      </c>
      <c r="BC4" s="312" t="s">
        <v>95</v>
      </c>
      <c r="BD4" s="312" t="s">
        <v>95</v>
      </c>
      <c r="BE4" s="312" t="s">
        <v>95</v>
      </c>
      <c r="BF4" s="312" t="s">
        <v>95</v>
      </c>
      <c r="BH4" s="312" t="s">
        <v>95</v>
      </c>
      <c r="BL4" s="312" t="s">
        <v>95</v>
      </c>
    </row>
    <row r="6" spans="1:66">
      <c r="A6" s="332" t="s">
        <v>423</v>
      </c>
      <c r="B6" s="332"/>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2"/>
      <c r="AP6" s="332"/>
      <c r="AQ6" s="332"/>
      <c r="AR6" s="332"/>
      <c r="AS6" s="332"/>
      <c r="AT6" s="332"/>
      <c r="AU6" s="332"/>
      <c r="AV6" s="332"/>
      <c r="AW6" s="332"/>
      <c r="AX6" s="332"/>
      <c r="AY6" s="332"/>
      <c r="AZ6" s="332"/>
      <c r="BA6" s="332"/>
      <c r="BB6" s="332"/>
      <c r="BC6" s="332"/>
      <c r="BD6" s="332"/>
      <c r="BE6" s="332"/>
      <c r="BF6" s="332"/>
      <c r="BG6" s="332"/>
      <c r="BH6" s="332"/>
      <c r="BI6" s="332"/>
      <c r="BJ6" s="332"/>
      <c r="BK6" s="332"/>
      <c r="BL6" s="332"/>
      <c r="BM6" s="332"/>
      <c r="BN6" s="332"/>
    </row>
    <row r="7" spans="1:66">
      <c r="A7" s="333" t="s">
        <v>424</v>
      </c>
      <c r="B7" s="333">
        <v>40575.913417000003</v>
      </c>
      <c r="C7" s="333">
        <v>59423.145326999998</v>
      </c>
      <c r="D7" s="333">
        <v>60785.752178999996</v>
      </c>
      <c r="E7" s="333">
        <v>98214.699903999994</v>
      </c>
      <c r="F7" s="333">
        <v>156971.77888100001</v>
      </c>
      <c r="G7" s="333">
        <v>151204.07477599999</v>
      </c>
      <c r="H7" s="333"/>
      <c r="I7" s="333"/>
      <c r="J7" s="333">
        <v>105934.77136</v>
      </c>
      <c r="K7" s="333"/>
      <c r="L7" s="333"/>
      <c r="M7" s="333"/>
      <c r="N7" s="333">
        <v>61431.786364</v>
      </c>
      <c r="O7" s="333">
        <v>68543.425936</v>
      </c>
      <c r="P7" s="333">
        <v>74000.426925000007</v>
      </c>
      <c r="Q7" s="333">
        <v>78769.620347999997</v>
      </c>
      <c r="R7" s="333">
        <v>85977.994179000001</v>
      </c>
      <c r="S7" s="333">
        <v>73723.596336000002</v>
      </c>
      <c r="T7" s="333"/>
      <c r="U7" s="333"/>
      <c r="V7" s="333"/>
      <c r="W7" s="333">
        <v>50479.169599000001</v>
      </c>
      <c r="X7" s="333"/>
      <c r="Y7" s="333"/>
      <c r="Z7" s="333"/>
      <c r="AA7" s="333">
        <v>167661.503146</v>
      </c>
      <c r="AB7" s="333">
        <v>244821.96421100001</v>
      </c>
      <c r="AC7" s="333">
        <v>296305.89651500003</v>
      </c>
      <c r="AD7" s="333">
        <v>376682.64428499999</v>
      </c>
      <c r="AE7" s="333">
        <v>447079.27533199999</v>
      </c>
      <c r="AF7" s="333"/>
      <c r="AG7" s="333">
        <v>525415.97647700005</v>
      </c>
      <c r="AH7" s="333"/>
      <c r="AI7" s="333"/>
      <c r="AJ7" s="333"/>
      <c r="AK7" s="333">
        <v>362684.459088</v>
      </c>
      <c r="AL7" s="333"/>
      <c r="AM7" s="333"/>
      <c r="AN7" s="333"/>
      <c r="AO7" s="333">
        <v>93110.908263999998</v>
      </c>
      <c r="AP7" s="333">
        <v>127774.76857999999</v>
      </c>
      <c r="AQ7" s="333">
        <v>150598.951833</v>
      </c>
      <c r="AR7" s="333">
        <v>199617.793921</v>
      </c>
      <c r="AS7" s="333">
        <v>215046.62729299997</v>
      </c>
      <c r="AT7" s="333">
        <v>208848.949823</v>
      </c>
      <c r="AU7" s="333"/>
      <c r="AV7" s="333"/>
      <c r="AW7" s="333"/>
      <c r="AX7" s="333">
        <v>148986.30760999999</v>
      </c>
      <c r="AY7" s="333"/>
      <c r="AZ7" s="333"/>
      <c r="BA7" s="333"/>
      <c r="BB7" s="333">
        <v>23727.721537999998</v>
      </c>
      <c r="BC7" s="333">
        <v>32539.764014999997</v>
      </c>
      <c r="BD7" s="333">
        <v>29278.640026999998</v>
      </c>
      <c r="BE7" s="333">
        <v>37205.234522999999</v>
      </c>
      <c r="BF7" s="333">
        <v>49996.990375000001</v>
      </c>
      <c r="BG7" s="333"/>
      <c r="BH7" s="333">
        <v>64033.777888999997</v>
      </c>
      <c r="BI7" s="333"/>
      <c r="BJ7" s="333"/>
      <c r="BK7" s="333"/>
      <c r="BL7" s="333">
        <v>39248.319567999999</v>
      </c>
      <c r="BM7" s="333"/>
      <c r="BN7" s="333"/>
    </row>
    <row r="8" spans="1:66">
      <c r="A8" s="313" t="s">
        <v>425</v>
      </c>
      <c r="B8" s="313">
        <v>40575.913417000003</v>
      </c>
      <c r="C8" s="313">
        <v>59423.145326999998</v>
      </c>
      <c r="D8" s="313">
        <v>60785.752178999996</v>
      </c>
      <c r="E8" s="313">
        <v>98214.699903999994</v>
      </c>
      <c r="F8" s="313">
        <v>156971.77888100001</v>
      </c>
      <c r="G8" s="313">
        <v>151204.07477599999</v>
      </c>
      <c r="J8" s="313">
        <v>105934.77136</v>
      </c>
      <c r="N8" s="313">
        <v>61431.786364</v>
      </c>
      <c r="O8" s="313">
        <v>68543.425936</v>
      </c>
      <c r="P8" s="313">
        <v>74000.426925000007</v>
      </c>
      <c r="Q8" s="313">
        <v>78769.620347999997</v>
      </c>
      <c r="R8" s="313">
        <v>85977.994179000001</v>
      </c>
      <c r="S8" s="313">
        <v>73723.596336000002</v>
      </c>
      <c r="W8" s="313">
        <v>50479.169599000001</v>
      </c>
      <c r="AA8" s="313">
        <v>167661.503146</v>
      </c>
      <c r="AB8" s="313">
        <v>244821.96421100001</v>
      </c>
      <c r="AC8" s="313">
        <v>296305.89651500003</v>
      </c>
      <c r="AD8" s="313">
        <v>376682.64428499999</v>
      </c>
      <c r="AE8" s="313">
        <v>447079.27533199999</v>
      </c>
      <c r="AG8" s="313">
        <v>525415.97647700005</v>
      </c>
      <c r="AK8" s="313">
        <v>362684.459088</v>
      </c>
      <c r="AO8" s="313">
        <v>93110.908263999998</v>
      </c>
      <c r="AP8" s="313">
        <v>127774.76857999999</v>
      </c>
      <c r="AQ8" s="313">
        <v>150598.951833</v>
      </c>
      <c r="AR8" s="313">
        <v>199617.793921</v>
      </c>
      <c r="AS8" s="313">
        <v>215046.62729299997</v>
      </c>
      <c r="AT8" s="313">
        <v>208848.949823</v>
      </c>
      <c r="AX8" s="313">
        <v>148986.30760999999</v>
      </c>
      <c r="BB8" s="313">
        <v>23727.721537999998</v>
      </c>
      <c r="BC8" s="313">
        <v>32539.764014999997</v>
      </c>
      <c r="BD8" s="313">
        <v>29278.640026999998</v>
      </c>
      <c r="BE8" s="313">
        <v>37205.234522999999</v>
      </c>
      <c r="BF8" s="313">
        <v>49996.990375000001</v>
      </c>
      <c r="BH8" s="313">
        <v>64033.777888999997</v>
      </c>
      <c r="BL8" s="313">
        <v>39248.319567999999</v>
      </c>
    </row>
    <row r="9" spans="1:66">
      <c r="A9" s="313" t="s">
        <v>426</v>
      </c>
      <c r="B9" s="313">
        <v>0</v>
      </c>
      <c r="C9" s="313">
        <v>0</v>
      </c>
      <c r="D9" s="313">
        <v>0</v>
      </c>
      <c r="E9" s="313">
        <v>0</v>
      </c>
      <c r="F9" s="313">
        <v>0</v>
      </c>
      <c r="G9" s="313">
        <v>0</v>
      </c>
      <c r="J9" s="313">
        <v>0</v>
      </c>
      <c r="N9" s="313">
        <v>0</v>
      </c>
      <c r="O9" s="313">
        <v>0</v>
      </c>
      <c r="P9" s="313">
        <v>0</v>
      </c>
      <c r="Q9" s="313">
        <v>0</v>
      </c>
      <c r="R9" s="313">
        <v>0</v>
      </c>
      <c r="S9" s="313">
        <v>0</v>
      </c>
      <c r="W9" s="313">
        <v>0</v>
      </c>
      <c r="AA9" s="313">
        <v>0</v>
      </c>
      <c r="AB9" s="313">
        <v>0</v>
      </c>
      <c r="AC9" s="313">
        <v>0</v>
      </c>
      <c r="AD9" s="313">
        <v>0</v>
      </c>
      <c r="AE9" s="313">
        <v>0</v>
      </c>
      <c r="AG9" s="313">
        <v>0</v>
      </c>
      <c r="AK9" s="313">
        <v>0</v>
      </c>
      <c r="AO9" s="313">
        <v>0</v>
      </c>
      <c r="AP9" s="313">
        <v>0</v>
      </c>
      <c r="AQ9" s="313">
        <v>0</v>
      </c>
      <c r="AR9" s="313">
        <v>0</v>
      </c>
      <c r="AS9" s="313">
        <v>0</v>
      </c>
      <c r="AT9" s="313">
        <v>0</v>
      </c>
      <c r="AX9" s="313">
        <v>0</v>
      </c>
      <c r="BB9" s="313">
        <v>0</v>
      </c>
      <c r="BC9" s="313">
        <v>0</v>
      </c>
      <c r="BD9" s="313">
        <v>0</v>
      </c>
      <c r="BE9" s="313">
        <v>0</v>
      </c>
      <c r="BF9" s="313">
        <v>0</v>
      </c>
      <c r="BH9" s="313">
        <v>0</v>
      </c>
      <c r="BL9" s="313">
        <v>0</v>
      </c>
    </row>
    <row r="10" spans="1:66">
      <c r="A10" s="313" t="s">
        <v>427</v>
      </c>
      <c r="B10" s="313">
        <v>0</v>
      </c>
      <c r="C10" s="313">
        <v>0</v>
      </c>
      <c r="D10" s="313">
        <v>0</v>
      </c>
      <c r="E10" s="313">
        <v>0</v>
      </c>
      <c r="F10" s="313">
        <v>0</v>
      </c>
      <c r="G10" s="313">
        <v>0</v>
      </c>
      <c r="J10" s="313">
        <v>0</v>
      </c>
      <c r="N10" s="313">
        <v>0</v>
      </c>
      <c r="O10" s="313">
        <v>0</v>
      </c>
      <c r="P10" s="313">
        <v>0</v>
      </c>
      <c r="Q10" s="313">
        <v>0</v>
      </c>
      <c r="R10" s="313">
        <v>0</v>
      </c>
      <c r="S10" s="313">
        <v>0</v>
      </c>
      <c r="W10" s="313">
        <v>0</v>
      </c>
      <c r="AA10" s="313">
        <v>0</v>
      </c>
      <c r="AB10" s="313">
        <v>0</v>
      </c>
      <c r="AC10" s="313">
        <v>0</v>
      </c>
      <c r="AD10" s="313">
        <v>0</v>
      </c>
      <c r="AE10" s="313">
        <v>0</v>
      </c>
      <c r="AG10" s="313">
        <v>0</v>
      </c>
      <c r="AK10" s="313">
        <v>0</v>
      </c>
      <c r="AO10" s="313">
        <v>0</v>
      </c>
      <c r="AP10" s="313">
        <v>0</v>
      </c>
      <c r="AQ10" s="313">
        <v>0</v>
      </c>
      <c r="AR10" s="313">
        <v>0</v>
      </c>
      <c r="AS10" s="313">
        <v>0</v>
      </c>
      <c r="AT10" s="313">
        <v>0</v>
      </c>
      <c r="AX10" s="313">
        <v>0</v>
      </c>
      <c r="BB10" s="313">
        <v>0</v>
      </c>
      <c r="BC10" s="313">
        <v>0</v>
      </c>
      <c r="BD10" s="313">
        <v>0</v>
      </c>
      <c r="BE10" s="313">
        <v>0</v>
      </c>
      <c r="BF10" s="313">
        <v>0</v>
      </c>
      <c r="BH10" s="313">
        <v>0</v>
      </c>
      <c r="BL10" s="313">
        <v>0</v>
      </c>
    </row>
    <row r="11" spans="1:66">
      <c r="A11" s="313" t="s">
        <v>428</v>
      </c>
      <c r="B11" s="313">
        <v>0</v>
      </c>
      <c r="C11" s="313">
        <v>0</v>
      </c>
      <c r="D11" s="313">
        <v>0</v>
      </c>
      <c r="E11" s="313">
        <v>0</v>
      </c>
      <c r="F11" s="313">
        <v>0</v>
      </c>
      <c r="G11" s="313">
        <v>0</v>
      </c>
      <c r="J11" s="313">
        <v>0</v>
      </c>
      <c r="N11" s="313">
        <v>0</v>
      </c>
      <c r="O11" s="313">
        <v>0</v>
      </c>
      <c r="P11" s="313">
        <v>0</v>
      </c>
      <c r="Q11" s="313">
        <v>0</v>
      </c>
      <c r="R11" s="313">
        <v>0</v>
      </c>
      <c r="S11" s="313">
        <v>0</v>
      </c>
      <c r="W11" s="313">
        <v>0</v>
      </c>
      <c r="AA11" s="313">
        <v>0</v>
      </c>
      <c r="AB11" s="313">
        <v>0</v>
      </c>
      <c r="AC11" s="313">
        <v>0</v>
      </c>
      <c r="AD11" s="313">
        <v>0</v>
      </c>
      <c r="AE11" s="313">
        <v>0</v>
      </c>
      <c r="AG11" s="313">
        <v>0</v>
      </c>
      <c r="AK11" s="313">
        <v>0</v>
      </c>
      <c r="AO11" s="313">
        <v>0</v>
      </c>
      <c r="AP11" s="313">
        <v>0</v>
      </c>
      <c r="AQ11" s="313">
        <v>0</v>
      </c>
      <c r="AR11" s="313">
        <v>0</v>
      </c>
      <c r="AS11" s="313">
        <v>0</v>
      </c>
      <c r="AT11" s="313">
        <v>0</v>
      </c>
      <c r="AX11" s="313">
        <v>0</v>
      </c>
      <c r="BB11" s="313">
        <v>0</v>
      </c>
      <c r="BC11" s="313">
        <v>0</v>
      </c>
      <c r="BD11" s="313">
        <v>0</v>
      </c>
      <c r="BE11" s="313">
        <v>0</v>
      </c>
      <c r="BF11" s="313">
        <v>0</v>
      </c>
      <c r="BH11" s="313">
        <v>0</v>
      </c>
      <c r="BL11" s="313">
        <v>0</v>
      </c>
    </row>
    <row r="12" spans="1:66">
      <c r="A12" s="313" t="s">
        <v>429</v>
      </c>
      <c r="B12" s="313">
        <v>0</v>
      </c>
      <c r="C12" s="313">
        <v>0</v>
      </c>
      <c r="D12" s="313">
        <v>0</v>
      </c>
      <c r="E12" s="313">
        <v>0</v>
      </c>
      <c r="F12" s="313">
        <v>0</v>
      </c>
      <c r="G12" s="313">
        <v>0</v>
      </c>
      <c r="J12" s="313">
        <v>0</v>
      </c>
      <c r="N12" s="313">
        <v>0</v>
      </c>
      <c r="O12" s="313">
        <v>0</v>
      </c>
      <c r="P12" s="313">
        <v>0</v>
      </c>
      <c r="Q12" s="313">
        <v>0</v>
      </c>
      <c r="R12" s="313">
        <v>0</v>
      </c>
      <c r="S12" s="313">
        <v>0</v>
      </c>
      <c r="W12" s="313">
        <v>0</v>
      </c>
      <c r="AA12" s="313">
        <v>0</v>
      </c>
      <c r="AB12" s="313">
        <v>0</v>
      </c>
      <c r="AC12" s="313">
        <v>0</v>
      </c>
      <c r="AD12" s="313">
        <v>0</v>
      </c>
      <c r="AE12" s="313">
        <v>0</v>
      </c>
      <c r="AG12" s="313">
        <v>0</v>
      </c>
      <c r="AK12" s="313">
        <v>0</v>
      </c>
      <c r="AO12" s="313">
        <v>0</v>
      </c>
      <c r="AP12" s="313">
        <v>0</v>
      </c>
      <c r="AQ12" s="313">
        <v>0</v>
      </c>
      <c r="AR12" s="313">
        <v>0</v>
      </c>
      <c r="AS12" s="313">
        <v>0</v>
      </c>
      <c r="AT12" s="313">
        <v>0</v>
      </c>
      <c r="AX12" s="313">
        <v>0</v>
      </c>
      <c r="BB12" s="313">
        <v>0</v>
      </c>
      <c r="BC12" s="313">
        <v>0</v>
      </c>
      <c r="BD12" s="313">
        <v>0</v>
      </c>
      <c r="BE12" s="313">
        <v>0</v>
      </c>
      <c r="BF12" s="313">
        <v>0</v>
      </c>
      <c r="BH12" s="313">
        <v>0</v>
      </c>
      <c r="BL12" s="313">
        <v>0</v>
      </c>
    </row>
    <row r="13" spans="1:66">
      <c r="A13" s="313" t="s">
        <v>430</v>
      </c>
      <c r="B13" s="313">
        <v>0</v>
      </c>
      <c r="C13" s="313">
        <v>0</v>
      </c>
      <c r="D13" s="313">
        <v>0</v>
      </c>
      <c r="E13" s="313">
        <v>0</v>
      </c>
      <c r="F13" s="313">
        <v>0</v>
      </c>
      <c r="G13" s="313">
        <v>0</v>
      </c>
      <c r="J13" s="313">
        <v>0</v>
      </c>
      <c r="N13" s="313">
        <v>0</v>
      </c>
      <c r="O13" s="313">
        <v>0</v>
      </c>
      <c r="P13" s="313">
        <v>0</v>
      </c>
      <c r="Q13" s="313">
        <v>0</v>
      </c>
      <c r="R13" s="313">
        <v>0</v>
      </c>
      <c r="S13" s="313">
        <v>0</v>
      </c>
      <c r="W13" s="313">
        <v>0</v>
      </c>
      <c r="AA13" s="313">
        <v>0</v>
      </c>
      <c r="AB13" s="313">
        <v>0</v>
      </c>
      <c r="AC13" s="313">
        <v>0</v>
      </c>
      <c r="AD13" s="313">
        <v>0</v>
      </c>
      <c r="AE13" s="313">
        <v>0</v>
      </c>
      <c r="AG13" s="313">
        <v>0</v>
      </c>
      <c r="AK13" s="313">
        <v>0</v>
      </c>
      <c r="AO13" s="313">
        <v>0</v>
      </c>
      <c r="AP13" s="313">
        <v>0</v>
      </c>
      <c r="AQ13" s="313">
        <v>0</v>
      </c>
      <c r="AR13" s="313">
        <v>0</v>
      </c>
      <c r="AS13" s="313">
        <v>0</v>
      </c>
      <c r="AT13" s="313">
        <v>0</v>
      </c>
      <c r="AX13" s="313">
        <v>0</v>
      </c>
      <c r="BB13" s="313">
        <v>0</v>
      </c>
      <c r="BC13" s="313">
        <v>0</v>
      </c>
      <c r="BD13" s="313">
        <v>0</v>
      </c>
      <c r="BE13" s="313">
        <v>0</v>
      </c>
      <c r="BF13" s="313">
        <v>0</v>
      </c>
      <c r="BH13" s="313">
        <v>0</v>
      </c>
      <c r="BL13" s="313">
        <v>0</v>
      </c>
    </row>
    <row r="14" spans="1:66">
      <c r="A14" s="333" t="s">
        <v>431</v>
      </c>
      <c r="B14" s="333">
        <v>36386.846818999999</v>
      </c>
      <c r="C14" s="333">
        <v>54209.379860000001</v>
      </c>
      <c r="D14" s="333">
        <v>61193.990516999998</v>
      </c>
      <c r="E14" s="333">
        <v>95769.819520000005</v>
      </c>
      <c r="F14" s="333">
        <v>149270.65607500001</v>
      </c>
      <c r="G14" s="333">
        <v>163972.27153199998</v>
      </c>
      <c r="H14" s="333"/>
      <c r="I14" s="333"/>
      <c r="J14" s="333">
        <v>104966.101715</v>
      </c>
      <c r="K14" s="333"/>
      <c r="L14" s="333"/>
      <c r="M14" s="333"/>
      <c r="N14" s="333">
        <v>57685.721846</v>
      </c>
      <c r="O14" s="333">
        <v>63663.399389999999</v>
      </c>
      <c r="P14" s="333">
        <v>68197.551598999999</v>
      </c>
      <c r="Q14" s="333">
        <v>70516.914782000007</v>
      </c>
      <c r="R14" s="333">
        <v>78235.893708999996</v>
      </c>
      <c r="S14" s="333">
        <v>66832.319567999992</v>
      </c>
      <c r="T14" s="333"/>
      <c r="U14" s="333"/>
      <c r="V14" s="333"/>
      <c r="W14" s="333">
        <v>54564.645997</v>
      </c>
      <c r="X14" s="333"/>
      <c r="Y14" s="333"/>
      <c r="Z14" s="333"/>
      <c r="AA14" s="333">
        <v>162176.403876</v>
      </c>
      <c r="AB14" s="333">
        <v>235496.09531399998</v>
      </c>
      <c r="AC14" s="333">
        <v>283459.429619</v>
      </c>
      <c r="AD14" s="333">
        <v>355804.69442900002</v>
      </c>
      <c r="AE14" s="333">
        <v>435312.84198900004</v>
      </c>
      <c r="AF14" s="333"/>
      <c r="AG14" s="333">
        <v>511277.80293000001</v>
      </c>
      <c r="AH14" s="333"/>
      <c r="AI14" s="333"/>
      <c r="AJ14" s="333"/>
      <c r="AK14" s="333">
        <v>354110.45750999998</v>
      </c>
      <c r="AL14" s="333"/>
      <c r="AM14" s="333"/>
      <c r="AN14" s="333"/>
      <c r="AO14" s="333">
        <v>71126.789285999999</v>
      </c>
      <c r="AP14" s="333">
        <v>98661.393975999992</v>
      </c>
      <c r="AQ14" s="333">
        <v>110577.88323399999</v>
      </c>
      <c r="AR14" s="333">
        <v>147670.11361500001</v>
      </c>
      <c r="AS14" s="333">
        <v>169498.856015</v>
      </c>
      <c r="AT14" s="333">
        <v>187030.321685</v>
      </c>
      <c r="AU14" s="333"/>
      <c r="AV14" s="333"/>
      <c r="AW14" s="333"/>
      <c r="AX14" s="333">
        <v>133483.18651699999</v>
      </c>
      <c r="AY14" s="333"/>
      <c r="AZ14" s="333"/>
      <c r="BA14" s="333"/>
      <c r="BB14" s="333">
        <v>18902.086546999999</v>
      </c>
      <c r="BC14" s="333">
        <v>24283.476325</v>
      </c>
      <c r="BD14" s="333">
        <v>63301.137853</v>
      </c>
      <c r="BE14" s="333">
        <v>28874.842187000002</v>
      </c>
      <c r="BF14" s="333">
        <v>39750.002892000004</v>
      </c>
      <c r="BG14" s="333"/>
      <c r="BH14" s="333">
        <v>49709.867063999998</v>
      </c>
      <c r="BI14" s="333"/>
      <c r="BJ14" s="333"/>
      <c r="BK14" s="333"/>
      <c r="BL14" s="333">
        <v>42588.474639</v>
      </c>
      <c r="BM14" s="333"/>
      <c r="BN14" s="333"/>
    </row>
    <row r="15" spans="1:66">
      <c r="A15" s="313" t="s">
        <v>432</v>
      </c>
      <c r="B15" s="313">
        <v>25105.748577000002</v>
      </c>
      <c r="C15" s="313">
        <v>37507.662454000005</v>
      </c>
      <c r="D15" s="313">
        <v>35793.372547999999</v>
      </c>
      <c r="E15" s="313">
        <v>66416.439208000011</v>
      </c>
      <c r="F15" s="313">
        <v>110418.366776</v>
      </c>
      <c r="G15" s="313">
        <v>103183.579576</v>
      </c>
      <c r="J15" s="313">
        <v>69416.323040999996</v>
      </c>
      <c r="N15" s="313">
        <v>34310.911023000001</v>
      </c>
      <c r="O15" s="313">
        <v>40246.416904999998</v>
      </c>
      <c r="P15" s="313">
        <v>37561.065482999998</v>
      </c>
      <c r="Q15" s="313">
        <v>38885.387347000004</v>
      </c>
      <c r="R15" s="313">
        <v>42766.282995000001</v>
      </c>
      <c r="S15" s="313">
        <v>38681.313786999999</v>
      </c>
      <c r="W15" s="313">
        <v>33820.360519000002</v>
      </c>
      <c r="AA15" s="313">
        <v>134555.15802500001</v>
      </c>
      <c r="AB15" s="313">
        <v>201156.615942</v>
      </c>
      <c r="AC15" s="313">
        <v>238333.18323400003</v>
      </c>
      <c r="AD15" s="313">
        <v>299277.15010299999</v>
      </c>
      <c r="AE15" s="313">
        <v>374359.11721999996</v>
      </c>
      <c r="AG15" s="313">
        <v>453956.25295200007</v>
      </c>
      <c r="AK15" s="313">
        <v>308127.63511100004</v>
      </c>
      <c r="AO15" s="313">
        <v>49307.813682</v>
      </c>
      <c r="AP15" s="313">
        <v>68630.498114000002</v>
      </c>
      <c r="AQ15" s="313">
        <v>75652.814349000007</v>
      </c>
      <c r="AR15" s="313">
        <v>101101.787128</v>
      </c>
      <c r="AS15" s="313">
        <v>105068.440754</v>
      </c>
      <c r="AT15" s="313">
        <v>111778.23936800001</v>
      </c>
      <c r="AX15" s="313">
        <v>86229.759286999993</v>
      </c>
      <c r="BB15" s="313">
        <v>3753.3067530000003</v>
      </c>
      <c r="BC15" s="313">
        <v>7212.3852290000004</v>
      </c>
      <c r="BD15" s="313">
        <v>7403.4535879999994</v>
      </c>
      <c r="BE15" s="313">
        <v>9149.2878909999999</v>
      </c>
      <c r="BF15" s="313">
        <v>11951.193464</v>
      </c>
      <c r="BH15" s="313">
        <v>12847.394026</v>
      </c>
      <c r="BL15" s="313">
        <v>5040.7178079999994</v>
      </c>
    </row>
    <row r="16" spans="1:66">
      <c r="A16" s="313" t="s">
        <v>433</v>
      </c>
      <c r="B16" s="313">
        <v>0</v>
      </c>
      <c r="C16" s="313">
        <v>0</v>
      </c>
      <c r="D16" s="313">
        <v>0</v>
      </c>
      <c r="E16" s="313">
        <v>0</v>
      </c>
      <c r="F16" s="313">
        <v>0</v>
      </c>
      <c r="G16" s="313">
        <v>0</v>
      </c>
      <c r="J16" s="313">
        <v>0</v>
      </c>
      <c r="N16" s="313">
        <v>0</v>
      </c>
      <c r="O16" s="313">
        <v>0</v>
      </c>
      <c r="P16" s="313">
        <v>0</v>
      </c>
      <c r="Q16" s="313">
        <v>0</v>
      </c>
      <c r="R16" s="313">
        <v>0</v>
      </c>
      <c r="S16" s="313">
        <v>0</v>
      </c>
      <c r="W16" s="313">
        <v>0</v>
      </c>
      <c r="AA16" s="313">
        <v>0</v>
      </c>
      <c r="AB16" s="313">
        <v>0</v>
      </c>
      <c r="AC16" s="313">
        <v>0</v>
      </c>
      <c r="AD16" s="313">
        <v>0</v>
      </c>
      <c r="AE16" s="313">
        <v>0</v>
      </c>
      <c r="AG16" s="313">
        <v>0</v>
      </c>
      <c r="AK16" s="313">
        <v>0</v>
      </c>
      <c r="AO16" s="313">
        <v>0</v>
      </c>
      <c r="AP16" s="313">
        <v>0</v>
      </c>
      <c r="AQ16" s="313">
        <v>0</v>
      </c>
      <c r="AR16" s="313">
        <v>0</v>
      </c>
      <c r="AS16" s="313">
        <v>0</v>
      </c>
      <c r="AT16" s="313">
        <v>0</v>
      </c>
      <c r="AX16" s="313">
        <v>0</v>
      </c>
      <c r="BB16" s="313">
        <v>0</v>
      </c>
      <c r="BC16" s="313">
        <v>0</v>
      </c>
      <c r="BD16" s="313">
        <v>0</v>
      </c>
      <c r="BE16" s="313">
        <v>0</v>
      </c>
      <c r="BF16" s="313">
        <v>0</v>
      </c>
      <c r="BH16" s="313">
        <v>0</v>
      </c>
      <c r="BL16" s="313">
        <v>0</v>
      </c>
    </row>
    <row r="17" spans="1:64">
      <c r="A17" s="313" t="s">
        <v>434</v>
      </c>
      <c r="B17" s="313">
        <v>0</v>
      </c>
      <c r="C17" s="313">
        <v>0</v>
      </c>
      <c r="D17" s="313">
        <v>0</v>
      </c>
      <c r="E17" s="313">
        <v>0</v>
      </c>
      <c r="F17" s="313">
        <v>0</v>
      </c>
      <c r="G17" s="313">
        <v>0</v>
      </c>
      <c r="J17" s="313">
        <v>0</v>
      </c>
      <c r="N17" s="313">
        <v>0</v>
      </c>
      <c r="O17" s="313">
        <v>0</v>
      </c>
      <c r="P17" s="313">
        <v>0</v>
      </c>
      <c r="Q17" s="313">
        <v>0</v>
      </c>
      <c r="R17" s="313">
        <v>0</v>
      </c>
      <c r="S17" s="313">
        <v>0</v>
      </c>
      <c r="W17" s="313">
        <v>0</v>
      </c>
      <c r="AA17" s="313">
        <v>0</v>
      </c>
      <c r="AB17" s="313">
        <v>0</v>
      </c>
      <c r="AC17" s="313">
        <v>0</v>
      </c>
      <c r="AD17" s="313">
        <v>0</v>
      </c>
      <c r="AE17" s="313">
        <v>0</v>
      </c>
      <c r="AG17" s="313">
        <v>0</v>
      </c>
      <c r="AK17" s="313">
        <v>0</v>
      </c>
      <c r="AO17" s="313">
        <v>0</v>
      </c>
      <c r="AP17" s="313">
        <v>0</v>
      </c>
      <c r="AQ17" s="313">
        <v>0</v>
      </c>
      <c r="AR17" s="313">
        <v>0</v>
      </c>
      <c r="AS17" s="313">
        <v>0</v>
      </c>
      <c r="AT17" s="313">
        <v>0</v>
      </c>
      <c r="AX17" s="313">
        <v>0</v>
      </c>
      <c r="BB17" s="313">
        <v>0</v>
      </c>
      <c r="BC17" s="313">
        <v>0</v>
      </c>
      <c r="BD17" s="313">
        <v>0</v>
      </c>
      <c r="BE17" s="313">
        <v>0</v>
      </c>
      <c r="BF17" s="313">
        <v>0</v>
      </c>
      <c r="BH17" s="313">
        <v>0</v>
      </c>
      <c r="BL17" s="313">
        <v>0</v>
      </c>
    </row>
    <row r="18" spans="1:64">
      <c r="A18" s="313" t="s">
        <v>435</v>
      </c>
      <c r="B18" s="313">
        <v>0</v>
      </c>
      <c r="C18" s="313">
        <v>0</v>
      </c>
      <c r="D18" s="313">
        <v>0</v>
      </c>
      <c r="E18" s="313">
        <v>0</v>
      </c>
      <c r="F18" s="313">
        <v>0</v>
      </c>
      <c r="G18" s="313">
        <v>0</v>
      </c>
      <c r="J18" s="313">
        <v>0</v>
      </c>
      <c r="N18" s="313">
        <v>0</v>
      </c>
      <c r="O18" s="313">
        <v>0</v>
      </c>
      <c r="P18" s="313">
        <v>0</v>
      </c>
      <c r="Q18" s="313">
        <v>0</v>
      </c>
      <c r="R18" s="313">
        <v>0</v>
      </c>
      <c r="S18" s="313">
        <v>0</v>
      </c>
      <c r="W18" s="313">
        <v>0</v>
      </c>
      <c r="AA18" s="313">
        <v>0</v>
      </c>
      <c r="AB18" s="313">
        <v>0</v>
      </c>
      <c r="AC18" s="313">
        <v>0</v>
      </c>
      <c r="AD18" s="313">
        <v>0</v>
      </c>
      <c r="AE18" s="313">
        <v>0</v>
      </c>
      <c r="AG18" s="313">
        <v>0</v>
      </c>
      <c r="AK18" s="313">
        <v>0</v>
      </c>
      <c r="AO18" s="313">
        <v>0</v>
      </c>
      <c r="AP18" s="313">
        <v>0</v>
      </c>
      <c r="AQ18" s="313">
        <v>0</v>
      </c>
      <c r="AR18" s="313">
        <v>0</v>
      </c>
      <c r="AS18" s="313">
        <v>0</v>
      </c>
      <c r="AT18" s="313">
        <v>0</v>
      </c>
      <c r="AX18" s="313">
        <v>0</v>
      </c>
      <c r="BB18" s="313">
        <v>0</v>
      </c>
      <c r="BC18" s="313">
        <v>0</v>
      </c>
      <c r="BD18" s="313">
        <v>0</v>
      </c>
      <c r="BE18" s="313">
        <v>0</v>
      </c>
      <c r="BF18" s="313">
        <v>0</v>
      </c>
      <c r="BH18" s="313">
        <v>0</v>
      </c>
      <c r="BL18" s="313">
        <v>0</v>
      </c>
    </row>
    <row r="19" spans="1:64">
      <c r="A19" s="313" t="s">
        <v>436</v>
      </c>
      <c r="B19" s="313">
        <v>0</v>
      </c>
      <c r="C19" s="313">
        <v>0</v>
      </c>
      <c r="D19" s="313">
        <v>0</v>
      </c>
      <c r="E19" s="313">
        <v>0</v>
      </c>
      <c r="F19" s="313">
        <v>0</v>
      </c>
      <c r="G19" s="313">
        <v>0</v>
      </c>
      <c r="J19" s="313">
        <v>0</v>
      </c>
      <c r="N19" s="313">
        <v>0</v>
      </c>
      <c r="O19" s="313">
        <v>0</v>
      </c>
      <c r="P19" s="313">
        <v>0</v>
      </c>
      <c r="Q19" s="313">
        <v>0</v>
      </c>
      <c r="R19" s="313">
        <v>0</v>
      </c>
      <c r="S19" s="313">
        <v>0</v>
      </c>
      <c r="W19" s="313">
        <v>0</v>
      </c>
      <c r="AA19" s="313">
        <v>0</v>
      </c>
      <c r="AB19" s="313">
        <v>0</v>
      </c>
      <c r="AC19" s="313">
        <v>0</v>
      </c>
      <c r="AD19" s="313">
        <v>0</v>
      </c>
      <c r="AE19" s="313">
        <v>0</v>
      </c>
      <c r="AG19" s="313">
        <v>0</v>
      </c>
      <c r="AK19" s="313">
        <v>0</v>
      </c>
      <c r="AO19" s="313">
        <v>0</v>
      </c>
      <c r="AP19" s="313">
        <v>0</v>
      </c>
      <c r="AQ19" s="313">
        <v>0</v>
      </c>
      <c r="AR19" s="313">
        <v>0</v>
      </c>
      <c r="AS19" s="313">
        <v>0</v>
      </c>
      <c r="AT19" s="313">
        <v>0</v>
      </c>
      <c r="AX19" s="313">
        <v>0</v>
      </c>
      <c r="BB19" s="313">
        <v>0</v>
      </c>
      <c r="BC19" s="313">
        <v>0</v>
      </c>
      <c r="BD19" s="313">
        <v>0</v>
      </c>
      <c r="BE19" s="313">
        <v>0</v>
      </c>
      <c r="BF19" s="313">
        <v>0</v>
      </c>
      <c r="BH19" s="313">
        <v>0</v>
      </c>
      <c r="BL19" s="313">
        <v>0</v>
      </c>
    </row>
    <row r="20" spans="1:64">
      <c r="A20" s="313" t="s">
        <v>437</v>
      </c>
      <c r="B20" s="313">
        <v>0</v>
      </c>
      <c r="C20" s="313">
        <v>0</v>
      </c>
      <c r="D20" s="313">
        <v>0</v>
      </c>
      <c r="E20" s="313">
        <v>0</v>
      </c>
      <c r="F20" s="313">
        <v>0</v>
      </c>
      <c r="G20" s="313">
        <v>0</v>
      </c>
      <c r="J20" s="313">
        <v>0</v>
      </c>
      <c r="N20" s="313">
        <v>0</v>
      </c>
      <c r="O20" s="313">
        <v>0</v>
      </c>
      <c r="P20" s="313">
        <v>0</v>
      </c>
      <c r="Q20" s="313">
        <v>0</v>
      </c>
      <c r="R20" s="313">
        <v>0</v>
      </c>
      <c r="S20" s="313">
        <v>0</v>
      </c>
      <c r="W20" s="313">
        <v>0</v>
      </c>
      <c r="AA20" s="313">
        <v>0</v>
      </c>
      <c r="AB20" s="313">
        <v>0</v>
      </c>
      <c r="AC20" s="313">
        <v>0</v>
      </c>
      <c r="AD20" s="313">
        <v>0</v>
      </c>
      <c r="AE20" s="313">
        <v>0</v>
      </c>
      <c r="AG20" s="313">
        <v>0</v>
      </c>
      <c r="AK20" s="313">
        <v>0</v>
      </c>
      <c r="AO20" s="313">
        <v>0</v>
      </c>
      <c r="AP20" s="313">
        <v>0</v>
      </c>
      <c r="AQ20" s="313">
        <v>0</v>
      </c>
      <c r="AR20" s="313">
        <v>0</v>
      </c>
      <c r="AS20" s="313">
        <v>0</v>
      </c>
      <c r="AT20" s="313">
        <v>0</v>
      </c>
      <c r="AX20" s="313">
        <v>0</v>
      </c>
      <c r="BB20" s="313">
        <v>0</v>
      </c>
      <c r="BC20" s="313">
        <v>0</v>
      </c>
      <c r="BD20" s="313">
        <v>0</v>
      </c>
      <c r="BE20" s="313">
        <v>0</v>
      </c>
      <c r="BF20" s="313">
        <v>0</v>
      </c>
      <c r="BH20" s="313">
        <v>0</v>
      </c>
      <c r="BL20" s="313">
        <v>0</v>
      </c>
    </row>
    <row r="21" spans="1:64">
      <c r="A21" s="313" t="s">
        <v>438</v>
      </c>
      <c r="B21" s="313">
        <v>0</v>
      </c>
      <c r="C21" s="313">
        <v>0</v>
      </c>
      <c r="D21" s="313">
        <v>0</v>
      </c>
      <c r="E21" s="313">
        <v>0</v>
      </c>
      <c r="F21" s="313">
        <v>0</v>
      </c>
      <c r="G21" s="313">
        <v>0</v>
      </c>
      <c r="J21" s="313">
        <v>0</v>
      </c>
      <c r="N21" s="313">
        <v>0</v>
      </c>
      <c r="O21" s="313">
        <v>0</v>
      </c>
      <c r="P21" s="313">
        <v>0</v>
      </c>
      <c r="Q21" s="313">
        <v>0</v>
      </c>
      <c r="R21" s="313">
        <v>0</v>
      </c>
      <c r="S21" s="313">
        <v>0</v>
      </c>
      <c r="W21" s="313">
        <v>0</v>
      </c>
      <c r="AA21" s="313">
        <v>0</v>
      </c>
      <c r="AB21" s="313">
        <v>0</v>
      </c>
      <c r="AC21" s="313">
        <v>0</v>
      </c>
      <c r="AD21" s="313">
        <v>0</v>
      </c>
      <c r="AE21" s="313">
        <v>0</v>
      </c>
      <c r="AG21" s="313">
        <v>0</v>
      </c>
      <c r="AK21" s="313">
        <v>0</v>
      </c>
      <c r="AO21" s="313">
        <v>0</v>
      </c>
      <c r="AP21" s="313">
        <v>0</v>
      </c>
      <c r="AQ21" s="313">
        <v>0</v>
      </c>
      <c r="AR21" s="313">
        <v>0</v>
      </c>
      <c r="AS21" s="313">
        <v>0</v>
      </c>
      <c r="AT21" s="313">
        <v>0</v>
      </c>
      <c r="AX21" s="313">
        <v>0</v>
      </c>
      <c r="BB21" s="313">
        <v>0</v>
      </c>
      <c r="BC21" s="313">
        <v>0</v>
      </c>
      <c r="BD21" s="313">
        <v>0</v>
      </c>
      <c r="BE21" s="313">
        <v>0</v>
      </c>
      <c r="BF21" s="313">
        <v>0</v>
      </c>
      <c r="BH21" s="313">
        <v>0</v>
      </c>
      <c r="BL21" s="313">
        <v>0</v>
      </c>
    </row>
    <row r="22" spans="1:64">
      <c r="A22" s="313" t="s">
        <v>439</v>
      </c>
      <c r="B22" s="313">
        <v>0</v>
      </c>
      <c r="C22" s="313">
        <v>0</v>
      </c>
      <c r="D22" s="313">
        <v>0</v>
      </c>
      <c r="E22" s="313">
        <v>0</v>
      </c>
      <c r="F22" s="313">
        <v>0</v>
      </c>
      <c r="G22" s="313">
        <v>0</v>
      </c>
      <c r="J22" s="313">
        <v>0</v>
      </c>
      <c r="N22" s="313">
        <v>0</v>
      </c>
      <c r="O22" s="313">
        <v>0</v>
      </c>
      <c r="P22" s="313">
        <v>0</v>
      </c>
      <c r="Q22" s="313">
        <v>0</v>
      </c>
      <c r="R22" s="313">
        <v>0</v>
      </c>
      <c r="S22" s="313">
        <v>0</v>
      </c>
      <c r="W22" s="313">
        <v>0</v>
      </c>
      <c r="AA22" s="313">
        <v>0</v>
      </c>
      <c r="AB22" s="313">
        <v>0</v>
      </c>
      <c r="AC22" s="313">
        <v>0</v>
      </c>
      <c r="AD22" s="313">
        <v>0</v>
      </c>
      <c r="AE22" s="313">
        <v>0</v>
      </c>
      <c r="AG22" s="313">
        <v>0</v>
      </c>
      <c r="AK22" s="313">
        <v>0</v>
      </c>
      <c r="AO22" s="313">
        <v>0</v>
      </c>
      <c r="AP22" s="313">
        <v>0</v>
      </c>
      <c r="AQ22" s="313">
        <v>0</v>
      </c>
      <c r="AR22" s="313">
        <v>0</v>
      </c>
      <c r="AS22" s="313">
        <v>0</v>
      </c>
      <c r="AT22" s="313">
        <v>0</v>
      </c>
      <c r="AX22" s="313">
        <v>0</v>
      </c>
      <c r="BB22" s="313">
        <v>0</v>
      </c>
      <c r="BC22" s="313">
        <v>0</v>
      </c>
      <c r="BD22" s="313">
        <v>0</v>
      </c>
      <c r="BE22" s="313">
        <v>0</v>
      </c>
      <c r="BF22" s="313">
        <v>0</v>
      </c>
      <c r="BH22" s="313">
        <v>0</v>
      </c>
      <c r="BL22" s="313">
        <v>0</v>
      </c>
    </row>
    <row r="23" spans="1:64">
      <c r="A23" s="313" t="s">
        <v>440</v>
      </c>
      <c r="B23" s="313">
        <v>267.43480199999999</v>
      </c>
      <c r="C23" s="313">
        <v>216.86821499999999</v>
      </c>
      <c r="D23" s="313">
        <v>353.95538799999997</v>
      </c>
      <c r="E23" s="313">
        <v>415.08821399999999</v>
      </c>
      <c r="F23" s="313">
        <v>763.47052400000007</v>
      </c>
      <c r="G23" s="313">
        <v>764.34580700000004</v>
      </c>
      <c r="J23" s="313">
        <v>494.866759</v>
      </c>
      <c r="N23" s="313">
        <v>459.46694800000006</v>
      </c>
      <c r="O23" s="313">
        <v>502.05824200000001</v>
      </c>
      <c r="P23" s="313">
        <v>746.16922999999997</v>
      </c>
      <c r="Q23" s="313">
        <v>622.31829400000004</v>
      </c>
      <c r="R23" s="313">
        <v>535.058359</v>
      </c>
      <c r="S23" s="313">
        <v>491.78637699999996</v>
      </c>
      <c r="W23" s="313">
        <v>448.30806100000001</v>
      </c>
      <c r="AA23" s="313">
        <v>479.16822500000001</v>
      </c>
      <c r="AB23" s="313">
        <v>667.19396100000006</v>
      </c>
      <c r="AC23" s="313">
        <v>861.23528800000008</v>
      </c>
      <c r="AD23" s="313">
        <v>1130.0717999999999</v>
      </c>
      <c r="AE23" s="313">
        <v>1520.0975840000001</v>
      </c>
      <c r="AG23" s="313">
        <v>1359.4237499999999</v>
      </c>
      <c r="AK23" s="313">
        <v>879.84419700000012</v>
      </c>
      <c r="AO23" s="313">
        <v>687.96111500000006</v>
      </c>
      <c r="AP23" s="313">
        <v>812.95140400000003</v>
      </c>
      <c r="AQ23" s="313">
        <v>1399.35968</v>
      </c>
      <c r="AR23" s="313">
        <v>1375.0128560000001</v>
      </c>
      <c r="AS23" s="313">
        <v>1969.8150539999999</v>
      </c>
      <c r="AT23" s="313">
        <v>1525.8030590000001</v>
      </c>
      <c r="AX23" s="313">
        <v>960.17506199999991</v>
      </c>
      <c r="BB23" s="313">
        <v>368.16803799999997</v>
      </c>
      <c r="BC23" s="313">
        <v>541.51623499999994</v>
      </c>
      <c r="BD23" s="313">
        <v>393.88895400000001</v>
      </c>
      <c r="BE23" s="313">
        <v>510.04330700000003</v>
      </c>
      <c r="BF23" s="313">
        <v>573.13695599999994</v>
      </c>
      <c r="BH23" s="313">
        <v>813.89311399999997</v>
      </c>
      <c r="BL23" s="313">
        <v>479.67601100000002</v>
      </c>
    </row>
    <row r="24" spans="1:64">
      <c r="A24" s="313" t="s">
        <v>441</v>
      </c>
      <c r="B24" s="313">
        <v>2698.3910839999999</v>
      </c>
      <c r="C24" s="313">
        <v>3451.2221249999998</v>
      </c>
      <c r="D24" s="313">
        <v>5688.0442240000002</v>
      </c>
      <c r="E24" s="313">
        <v>7434.5798359999999</v>
      </c>
      <c r="F24" s="313">
        <v>8840.4641879999999</v>
      </c>
      <c r="G24" s="313">
        <v>9454.8337739999988</v>
      </c>
      <c r="J24" s="313">
        <v>8951.6402090000011</v>
      </c>
      <c r="N24" s="313">
        <v>8308.4426409999996</v>
      </c>
      <c r="O24" s="313">
        <v>9018.4813880000002</v>
      </c>
      <c r="P24" s="313">
        <v>9202.8523789999999</v>
      </c>
      <c r="Q24" s="313">
        <v>9689.9823049999995</v>
      </c>
      <c r="R24" s="313">
        <v>10342.642775</v>
      </c>
      <c r="S24" s="313">
        <v>9098.3744760000009</v>
      </c>
      <c r="W24" s="313">
        <v>6544.1476810000004</v>
      </c>
      <c r="AA24" s="313">
        <v>6658.5399470000002</v>
      </c>
      <c r="AB24" s="313">
        <v>7929.8085920000003</v>
      </c>
      <c r="AC24" s="313">
        <v>11260.903795</v>
      </c>
      <c r="AD24" s="313">
        <v>14189.676552999999</v>
      </c>
      <c r="AE24" s="313">
        <v>13044.88625</v>
      </c>
      <c r="AG24" s="313">
        <v>11336.32</v>
      </c>
      <c r="AK24" s="313">
        <v>9796.250218000001</v>
      </c>
      <c r="AO24" s="313">
        <v>5180.3481570000004</v>
      </c>
      <c r="AP24" s="313">
        <v>7680.9557900000009</v>
      </c>
      <c r="AQ24" s="313">
        <v>9288.3166270000002</v>
      </c>
      <c r="AR24" s="313">
        <v>11893.344088</v>
      </c>
      <c r="AS24" s="313">
        <v>13107.017540999999</v>
      </c>
      <c r="AT24" s="313">
        <v>9964.8414790000006</v>
      </c>
      <c r="AX24" s="313">
        <v>7616.9219060000005</v>
      </c>
      <c r="BB24" s="313">
        <v>6134.5018579999996</v>
      </c>
      <c r="BC24" s="313">
        <v>5576.0893859999996</v>
      </c>
      <c r="BD24" s="313">
        <v>4381.8066200000003</v>
      </c>
      <c r="BE24" s="313">
        <v>5686.2164969999994</v>
      </c>
      <c r="BF24" s="313">
        <v>7527.1800430000003</v>
      </c>
      <c r="BH24" s="313">
        <v>8951.4971609999993</v>
      </c>
      <c r="BL24" s="313">
        <v>12810.986962000001</v>
      </c>
    </row>
    <row r="25" spans="1:64">
      <c r="A25" s="313" t="s">
        <v>442</v>
      </c>
      <c r="B25" s="313">
        <v>7909.4761470000003</v>
      </c>
      <c r="C25" s="313">
        <v>12124.753391</v>
      </c>
      <c r="D25" s="313">
        <v>18404.187850999999</v>
      </c>
      <c r="E25" s="313">
        <v>6966.7965099999992</v>
      </c>
      <c r="F25" s="313">
        <v>9196.4034659999998</v>
      </c>
      <c r="G25" s="313">
        <v>8923.7781400000003</v>
      </c>
      <c r="J25" s="313">
        <v>8228.4725989999988</v>
      </c>
      <c r="N25" s="313">
        <v>12458.386699999999</v>
      </c>
      <c r="O25" s="313">
        <v>11681.319281999999</v>
      </c>
      <c r="P25" s="313">
        <v>18565.641451</v>
      </c>
      <c r="Q25" s="313">
        <v>5042.8000789999996</v>
      </c>
      <c r="R25" s="313">
        <v>5311.1421009999995</v>
      </c>
      <c r="S25" s="313">
        <v>4993.1495450000002</v>
      </c>
      <c r="W25" s="313">
        <v>5151.7834729999995</v>
      </c>
      <c r="AA25" s="313">
        <v>17659.023588</v>
      </c>
      <c r="AB25" s="313">
        <v>21534.10151</v>
      </c>
      <c r="AC25" s="313">
        <v>28540.700845999996</v>
      </c>
      <c r="AD25" s="313">
        <v>16053.786588999999</v>
      </c>
      <c r="AE25" s="313">
        <v>15669.672316</v>
      </c>
      <c r="AG25" s="313">
        <v>14057.502877999999</v>
      </c>
      <c r="AK25" s="313">
        <v>11586.954468</v>
      </c>
      <c r="AO25" s="313">
        <v>15046.648432</v>
      </c>
      <c r="AP25" s="313">
        <v>16989.460438999999</v>
      </c>
      <c r="AQ25" s="313">
        <v>21744.935898</v>
      </c>
      <c r="AR25" s="313">
        <v>18484.053197999998</v>
      </c>
      <c r="AS25" s="313">
        <v>14570.525184</v>
      </c>
      <c r="AT25" s="313">
        <v>14235.659637000001</v>
      </c>
      <c r="AX25" s="313">
        <v>12964.491035999999</v>
      </c>
      <c r="BB25" s="313">
        <v>7300.8461040000011</v>
      </c>
      <c r="BC25" s="313">
        <v>10048.438236</v>
      </c>
      <c r="BD25" s="313">
        <v>11359.573273</v>
      </c>
      <c r="BE25" s="313">
        <v>6321.879895</v>
      </c>
      <c r="BF25" s="313">
        <v>6849.7009639999997</v>
      </c>
      <c r="BH25" s="313">
        <v>7131.7266049999998</v>
      </c>
      <c r="BL25" s="313">
        <v>6680.3370810000006</v>
      </c>
    </row>
    <row r="26" spans="1:64" s="334" customFormat="1">
      <c r="A26" s="334" t="s">
        <v>443</v>
      </c>
      <c r="B26" s="334">
        <v>0</v>
      </c>
      <c r="C26" s="334">
        <v>0</v>
      </c>
      <c r="D26" s="334">
        <v>0</v>
      </c>
      <c r="E26" s="334">
        <v>13462.797662999999</v>
      </c>
      <c r="F26" s="334">
        <v>17917.635174999999</v>
      </c>
      <c r="G26" s="334">
        <v>18041.879936000001</v>
      </c>
      <c r="J26" s="334">
        <v>16428.493246000002</v>
      </c>
      <c r="N26" s="334">
        <v>0</v>
      </c>
      <c r="O26" s="334">
        <v>0</v>
      </c>
      <c r="P26" s="334">
        <v>0</v>
      </c>
      <c r="Q26" s="334">
        <v>14800.610977</v>
      </c>
      <c r="R26" s="334">
        <v>16752.610928000002</v>
      </c>
      <c r="S26" s="334">
        <v>9795.0866549999992</v>
      </c>
      <c r="W26" s="334">
        <v>6645.7056060000004</v>
      </c>
      <c r="AA26" s="334">
        <v>0</v>
      </c>
      <c r="AB26" s="334">
        <v>0</v>
      </c>
      <c r="AC26" s="334">
        <v>0</v>
      </c>
      <c r="AD26" s="334">
        <v>18552.522524</v>
      </c>
      <c r="AE26" s="334">
        <v>21323.582091999997</v>
      </c>
      <c r="AG26" s="334">
        <v>21685.039046000002</v>
      </c>
      <c r="AK26" s="334">
        <v>18799.847048</v>
      </c>
      <c r="AO26" s="334">
        <v>0</v>
      </c>
      <c r="AP26" s="334">
        <v>0</v>
      </c>
      <c r="AQ26" s="334">
        <v>0</v>
      </c>
      <c r="AR26" s="334">
        <v>11166.350457999999</v>
      </c>
      <c r="AS26" s="334">
        <v>25696.995735</v>
      </c>
      <c r="AT26" s="334">
        <v>35160.970743999998</v>
      </c>
      <c r="AX26" s="334">
        <v>25417.443231999998</v>
      </c>
      <c r="BB26" s="334">
        <v>0</v>
      </c>
      <c r="BC26" s="334">
        <v>0</v>
      </c>
      <c r="BD26" s="334">
        <v>0</v>
      </c>
      <c r="BE26" s="334">
        <v>7036.9152840000006</v>
      </c>
      <c r="BF26" s="334">
        <v>9970.3630709999998</v>
      </c>
      <c r="BH26" s="334">
        <v>17496.120524000002</v>
      </c>
      <c r="BL26" s="334">
        <v>15639.037768</v>
      </c>
    </row>
    <row r="27" spans="1:64">
      <c r="A27" s="313" t="s">
        <v>444</v>
      </c>
      <c r="B27" s="313">
        <v>3.2784480000000005</v>
      </c>
      <c r="C27" s="313">
        <v>-54.293647999999997</v>
      </c>
      <c r="D27" s="313">
        <v>-99.309661000000006</v>
      </c>
      <c r="E27" s="313">
        <v>175.31122199999999</v>
      </c>
      <c r="F27" s="313">
        <v>-88.281960999999995</v>
      </c>
      <c r="G27" s="313">
        <v>-341.28814</v>
      </c>
      <c r="J27" s="313">
        <v>366.81487900000002</v>
      </c>
      <c r="N27" s="313">
        <v>1249.83718</v>
      </c>
      <c r="O27" s="313">
        <v>1210.3114430000001</v>
      </c>
      <c r="P27" s="313">
        <v>704.37258700000007</v>
      </c>
      <c r="Q27" s="313">
        <v>807.246847</v>
      </c>
      <c r="R27" s="313">
        <v>1843.221575</v>
      </c>
      <c r="S27" s="313">
        <v>3261.717443</v>
      </c>
      <c r="W27" s="313">
        <v>2289.1125539999998</v>
      </c>
      <c r="AA27" s="313">
        <v>1687.841559</v>
      </c>
      <c r="AB27" s="313">
        <v>2776.4653410000001</v>
      </c>
      <c r="AC27" s="313">
        <v>3391.0278719999997</v>
      </c>
      <c r="AD27" s="313">
        <v>4371.2247010000001</v>
      </c>
      <c r="AE27" s="313">
        <v>6714.9778049999995</v>
      </c>
      <c r="AG27" s="313">
        <v>6586.2968200000005</v>
      </c>
      <c r="AK27" s="313">
        <v>5437.6105189999998</v>
      </c>
      <c r="AO27" s="313">
        <v>411.21847000000002</v>
      </c>
      <c r="AP27" s="313">
        <v>-726.62529400000005</v>
      </c>
      <c r="AQ27" s="313">
        <v>-507.82675399999999</v>
      </c>
      <c r="AR27" s="313">
        <v>192.22667799999999</v>
      </c>
      <c r="AS27" s="313">
        <v>1448.7403850000001</v>
      </c>
      <c r="AT27" s="313">
        <v>2076.0604499999999</v>
      </c>
      <c r="AX27" s="313">
        <v>1284.735709</v>
      </c>
      <c r="BB27" s="313">
        <v>-231.78551099999999</v>
      </c>
      <c r="BC27" s="313">
        <v>-507.838728</v>
      </c>
      <c r="BD27" s="313">
        <v>-915.70469200000002</v>
      </c>
      <c r="BE27" s="313">
        <v>-638.44955599999992</v>
      </c>
      <c r="BF27" s="313">
        <v>649.41965999999991</v>
      </c>
      <c r="BH27" s="313">
        <v>-270.37415699999997</v>
      </c>
      <c r="BL27" s="313">
        <v>-173.175377</v>
      </c>
    </row>
    <row r="28" spans="1:64">
      <c r="A28" s="313" t="s">
        <v>445</v>
      </c>
      <c r="B28" s="313">
        <v>0</v>
      </c>
      <c r="C28" s="313">
        <v>0</v>
      </c>
      <c r="D28" s="313">
        <v>0</v>
      </c>
      <c r="E28" s="313">
        <v>619.80013200000008</v>
      </c>
      <c r="F28" s="313">
        <v>976.26725500000009</v>
      </c>
      <c r="G28" s="313">
        <v>1253.521647</v>
      </c>
      <c r="J28" s="313">
        <v>1189.1628699999999</v>
      </c>
      <c r="N28" s="313">
        <v>0</v>
      </c>
      <c r="O28" s="313">
        <v>0</v>
      </c>
      <c r="P28" s="313">
        <v>0</v>
      </c>
      <c r="Q28" s="313">
        <v>989.98050000000001</v>
      </c>
      <c r="R28" s="313">
        <v>1840.1354120000001</v>
      </c>
      <c r="S28" s="313">
        <v>3574.0337450000002</v>
      </c>
      <c r="W28" s="313">
        <v>2491.9504870000001</v>
      </c>
      <c r="AA28" s="313">
        <v>0</v>
      </c>
      <c r="AB28" s="313">
        <v>0</v>
      </c>
      <c r="AC28" s="313">
        <v>0</v>
      </c>
      <c r="AD28" s="313">
        <v>4632.513919</v>
      </c>
      <c r="AE28" s="313">
        <v>6873.9813000000004</v>
      </c>
      <c r="AG28" s="313">
        <v>6725.3301860000001</v>
      </c>
      <c r="AK28" s="313">
        <v>5577.6173060000001</v>
      </c>
      <c r="AO28" s="313">
        <v>0</v>
      </c>
      <c r="AP28" s="313">
        <v>0</v>
      </c>
      <c r="AQ28" s="313">
        <v>0</v>
      </c>
      <c r="AR28" s="313">
        <v>1021.922366</v>
      </c>
      <c r="AS28" s="313">
        <v>2327.090173</v>
      </c>
      <c r="AT28" s="313">
        <v>3123.0913920000003</v>
      </c>
      <c r="AX28" s="313">
        <v>2442.673871</v>
      </c>
      <c r="BB28" s="313">
        <v>0</v>
      </c>
      <c r="BC28" s="313">
        <v>0</v>
      </c>
      <c r="BD28" s="313">
        <v>0</v>
      </c>
      <c r="BE28" s="313">
        <v>254.77694600000001</v>
      </c>
      <c r="BF28" s="313">
        <v>995.23422400000004</v>
      </c>
      <c r="BH28" s="313">
        <v>97.542192</v>
      </c>
      <c r="BL28" s="313">
        <v>47.798648999999997</v>
      </c>
    </row>
    <row r="29" spans="1:64">
      <c r="A29" s="313" t="s">
        <v>446</v>
      </c>
      <c r="B29" s="313">
        <v>0</v>
      </c>
      <c r="C29" s="313">
        <v>0</v>
      </c>
      <c r="D29" s="313">
        <v>0</v>
      </c>
      <c r="E29" s="313">
        <v>384.31062900000001</v>
      </c>
      <c r="F29" s="313">
        <v>1119.021857</v>
      </c>
      <c r="G29" s="313">
        <v>1729.2413260000001</v>
      </c>
      <c r="J29" s="313">
        <v>1022.9535800000001</v>
      </c>
      <c r="N29" s="313">
        <v>0</v>
      </c>
      <c r="O29" s="313">
        <v>0</v>
      </c>
      <c r="P29" s="313">
        <v>0</v>
      </c>
      <c r="Q29" s="313">
        <v>143.699524</v>
      </c>
      <c r="R29" s="313">
        <v>157.94706200000002</v>
      </c>
      <c r="S29" s="313">
        <v>310.42784999999998</v>
      </c>
      <c r="W29" s="313">
        <v>233.526004</v>
      </c>
      <c r="AA29" s="313">
        <v>0</v>
      </c>
      <c r="AB29" s="313">
        <v>0</v>
      </c>
      <c r="AC29" s="313">
        <v>0</v>
      </c>
      <c r="AD29" s="313">
        <v>132.81815399999999</v>
      </c>
      <c r="AE29" s="313">
        <v>173.640491</v>
      </c>
      <c r="AG29" s="313">
        <v>507.85568899999998</v>
      </c>
      <c r="AK29" s="313">
        <v>226.91582200000002</v>
      </c>
      <c r="AO29" s="313">
        <v>0</v>
      </c>
      <c r="AP29" s="313">
        <v>0</v>
      </c>
      <c r="AQ29" s="313">
        <v>0</v>
      </c>
      <c r="AR29" s="313">
        <v>1093.27658</v>
      </c>
      <c r="AS29" s="313">
        <v>1297.0172220000002</v>
      </c>
      <c r="AT29" s="313">
        <v>1264.6794320000001</v>
      </c>
      <c r="AX29" s="313">
        <v>943.034673</v>
      </c>
      <c r="BB29" s="313">
        <v>0</v>
      </c>
      <c r="BC29" s="313">
        <v>0</v>
      </c>
      <c r="BD29" s="313">
        <v>0</v>
      </c>
      <c r="BE29" s="313">
        <v>913.47006699999997</v>
      </c>
      <c r="BF29" s="313">
        <v>375.17118900000003</v>
      </c>
      <c r="BH29" s="313">
        <v>382.62818900000002</v>
      </c>
      <c r="BL29" s="313">
        <v>304.293522</v>
      </c>
    </row>
    <row r="30" spans="1:64">
      <c r="A30" s="313" t="s">
        <v>449</v>
      </c>
      <c r="B30" s="313">
        <v>0</v>
      </c>
      <c r="C30" s="313">
        <v>0</v>
      </c>
      <c r="D30" s="313">
        <v>0</v>
      </c>
      <c r="E30" s="313">
        <v>0</v>
      </c>
      <c r="F30" s="313">
        <v>0</v>
      </c>
      <c r="G30" s="313">
        <v>0</v>
      </c>
      <c r="J30" s="313">
        <v>0</v>
      </c>
      <c r="N30" s="313">
        <v>0</v>
      </c>
      <c r="O30" s="313">
        <v>0</v>
      </c>
      <c r="P30" s="313">
        <v>0</v>
      </c>
      <c r="Q30" s="313">
        <v>0</v>
      </c>
      <c r="R30" s="313">
        <v>0</v>
      </c>
      <c r="S30" s="313">
        <v>0</v>
      </c>
      <c r="W30" s="313">
        <v>0</v>
      </c>
      <c r="AA30" s="313">
        <v>0</v>
      </c>
      <c r="AB30" s="313">
        <v>0</v>
      </c>
      <c r="AC30" s="313">
        <v>0</v>
      </c>
      <c r="AD30" s="313">
        <v>0</v>
      </c>
      <c r="AE30" s="313">
        <v>0</v>
      </c>
      <c r="AG30" s="313">
        <v>0</v>
      </c>
      <c r="AK30" s="313">
        <v>0</v>
      </c>
      <c r="AO30" s="313">
        <v>0</v>
      </c>
      <c r="AP30" s="313">
        <v>0</v>
      </c>
      <c r="AQ30" s="313">
        <v>0</v>
      </c>
      <c r="AR30" s="313">
        <v>0</v>
      </c>
      <c r="AS30" s="313">
        <v>0</v>
      </c>
      <c r="AT30" s="313">
        <v>0</v>
      </c>
      <c r="AX30" s="313">
        <v>0</v>
      </c>
      <c r="BB30" s="313">
        <v>0</v>
      </c>
      <c r="BC30" s="313">
        <v>0</v>
      </c>
      <c r="BD30" s="313">
        <v>0</v>
      </c>
      <c r="BE30" s="313">
        <v>0</v>
      </c>
      <c r="BF30" s="313">
        <v>0</v>
      </c>
      <c r="BH30" s="313">
        <v>0</v>
      </c>
      <c r="BL30" s="313">
        <v>0</v>
      </c>
    </row>
    <row r="31" spans="1:64">
      <c r="A31" s="313" t="s">
        <v>450</v>
      </c>
      <c r="B31" s="313">
        <v>0</v>
      </c>
      <c r="C31" s="313">
        <v>0</v>
      </c>
      <c r="D31" s="313">
        <v>0</v>
      </c>
      <c r="E31" s="313">
        <v>0</v>
      </c>
      <c r="F31" s="313">
        <v>0</v>
      </c>
      <c r="G31" s="313">
        <v>0</v>
      </c>
      <c r="J31" s="313">
        <v>0</v>
      </c>
      <c r="N31" s="313">
        <v>0</v>
      </c>
      <c r="O31" s="313">
        <v>0</v>
      </c>
      <c r="P31" s="313">
        <v>0</v>
      </c>
      <c r="Q31" s="313">
        <v>0</v>
      </c>
      <c r="R31" s="313">
        <v>0</v>
      </c>
      <c r="S31" s="313">
        <v>0</v>
      </c>
      <c r="W31" s="313">
        <v>0</v>
      </c>
      <c r="AA31" s="313">
        <v>0</v>
      </c>
      <c r="AB31" s="313">
        <v>0</v>
      </c>
      <c r="AC31" s="313">
        <v>0</v>
      </c>
      <c r="AD31" s="313">
        <v>0</v>
      </c>
      <c r="AE31" s="313">
        <v>0</v>
      </c>
      <c r="AG31" s="313">
        <v>0</v>
      </c>
      <c r="AK31" s="313">
        <v>0</v>
      </c>
      <c r="AO31" s="313">
        <v>0</v>
      </c>
      <c r="AP31" s="313">
        <v>0</v>
      </c>
      <c r="AQ31" s="313">
        <v>0</v>
      </c>
      <c r="AR31" s="313">
        <v>0</v>
      </c>
      <c r="AS31" s="313">
        <v>0</v>
      </c>
      <c r="AT31" s="313">
        <v>0</v>
      </c>
      <c r="AX31" s="313">
        <v>0</v>
      </c>
      <c r="BB31" s="313">
        <v>0</v>
      </c>
      <c r="BC31" s="313">
        <v>0</v>
      </c>
      <c r="BD31" s="313">
        <v>0</v>
      </c>
      <c r="BE31" s="313">
        <v>0</v>
      </c>
      <c r="BF31" s="313">
        <v>0</v>
      </c>
      <c r="BH31" s="313">
        <v>0</v>
      </c>
      <c r="BL31" s="313">
        <v>0</v>
      </c>
    </row>
    <row r="32" spans="1:64">
      <c r="A32" s="313" t="s">
        <v>451</v>
      </c>
      <c r="B32" s="313">
        <v>0</v>
      </c>
      <c r="C32" s="313">
        <v>0</v>
      </c>
      <c r="D32" s="313">
        <v>0</v>
      </c>
      <c r="E32" s="313">
        <v>0</v>
      </c>
      <c r="F32" s="313">
        <v>1606.330359</v>
      </c>
      <c r="G32" s="313">
        <v>10406.393110999999</v>
      </c>
      <c r="J32" s="313">
        <v>0</v>
      </c>
      <c r="N32" s="313">
        <v>0</v>
      </c>
      <c r="O32" s="313">
        <v>0</v>
      </c>
      <c r="P32" s="313">
        <v>0</v>
      </c>
      <c r="Q32" s="313">
        <v>0</v>
      </c>
      <c r="R32" s="313">
        <v>0</v>
      </c>
      <c r="S32" s="313">
        <v>0</v>
      </c>
      <c r="W32" s="313">
        <v>0</v>
      </c>
      <c r="AA32" s="313">
        <v>0</v>
      </c>
      <c r="AB32" s="313">
        <v>0</v>
      </c>
      <c r="AC32" s="313">
        <v>-29.769600000000001</v>
      </c>
      <c r="AD32" s="313">
        <v>-138.74760000000001</v>
      </c>
      <c r="AE32" s="313">
        <v>51.0336</v>
      </c>
      <c r="AG32" s="313">
        <v>196.69579999999999</v>
      </c>
      <c r="AK32" s="313">
        <v>0</v>
      </c>
      <c r="AO32" s="313">
        <v>0</v>
      </c>
      <c r="AP32" s="313">
        <v>0</v>
      </c>
      <c r="AQ32" s="313">
        <v>0</v>
      </c>
      <c r="AR32" s="313">
        <v>0</v>
      </c>
      <c r="AS32" s="313">
        <v>0</v>
      </c>
      <c r="AT32" s="313">
        <v>0</v>
      </c>
      <c r="AX32" s="313">
        <v>0</v>
      </c>
      <c r="BB32" s="313">
        <v>0</v>
      </c>
      <c r="BC32" s="313">
        <v>0</v>
      </c>
      <c r="BD32" s="313">
        <v>0</v>
      </c>
      <c r="BE32" s="313">
        <v>0</v>
      </c>
      <c r="BF32" s="313">
        <v>0</v>
      </c>
      <c r="BH32" s="313">
        <v>0</v>
      </c>
      <c r="BL32" s="313">
        <v>0</v>
      </c>
    </row>
    <row r="33" spans="1:66">
      <c r="A33" s="313" t="s">
        <v>452</v>
      </c>
      <c r="B33" s="313">
        <v>0</v>
      </c>
      <c r="C33" s="313">
        <v>105.35732299999999</v>
      </c>
      <c r="D33" s="313">
        <v>250.252779</v>
      </c>
      <c r="E33" s="313">
        <v>409.46401200000003</v>
      </c>
      <c r="F33" s="313">
        <v>180.04136200000002</v>
      </c>
      <c r="G33" s="313">
        <v>1812.8235140000002</v>
      </c>
      <c r="J33" s="313">
        <v>6.7676399999999992</v>
      </c>
      <c r="N33" s="313">
        <v>27.748857000000001</v>
      </c>
      <c r="O33" s="313">
        <v>17.026429</v>
      </c>
      <c r="P33" s="313">
        <v>147.07453100000001</v>
      </c>
      <c r="Q33" s="313">
        <v>176.636054</v>
      </c>
      <c r="R33" s="313">
        <v>-43.504071000000003</v>
      </c>
      <c r="S33" s="313">
        <v>-168.10294199999998</v>
      </c>
      <c r="W33" s="313">
        <v>371.62728799999996</v>
      </c>
      <c r="AA33" s="313">
        <v>268.27403500000003</v>
      </c>
      <c r="AB33" s="313">
        <v>1940.2756870000001</v>
      </c>
      <c r="AC33" s="313">
        <v>732.87540300000001</v>
      </c>
      <c r="AD33" s="313">
        <v>150.40562</v>
      </c>
      <c r="AE33" s="313">
        <v>741.10663</v>
      </c>
      <c r="AG33" s="313">
        <v>511.12789900000001</v>
      </c>
      <c r="AK33" s="313">
        <v>-735.57263599999999</v>
      </c>
      <c r="AO33" s="313">
        <v>-121.43465900000001</v>
      </c>
      <c r="AP33" s="313">
        <v>1427.876986</v>
      </c>
      <c r="AQ33" s="313">
        <v>3430.4377039999999</v>
      </c>
      <c r="AR33" s="313">
        <v>3598.7314299999998</v>
      </c>
      <c r="AS33" s="313">
        <v>1987.0538199999999</v>
      </c>
      <c r="AT33" s="313">
        <v>1153.0591850000001</v>
      </c>
      <c r="AX33" s="313">
        <v>2360.4155579999997</v>
      </c>
      <c r="BB33" s="313">
        <v>3.2449720000000002</v>
      </c>
      <c r="BC33" s="313">
        <v>19.723606</v>
      </c>
      <c r="BD33" s="313">
        <v>-395.50107599999996</v>
      </c>
      <c r="BE33" s="313">
        <v>-30.090305999999998</v>
      </c>
      <c r="BF33" s="313">
        <v>124.802044</v>
      </c>
      <c r="BH33" s="313">
        <v>-74.619966000000005</v>
      </c>
      <c r="BL33" s="313">
        <v>215.918216</v>
      </c>
    </row>
    <row r="34" spans="1:66">
      <c r="A34" s="313" t="s">
        <v>453</v>
      </c>
      <c r="B34" s="313">
        <v>0</v>
      </c>
      <c r="C34" s="313">
        <v>-0.126777</v>
      </c>
      <c r="D34" s="313">
        <v>18.639814999999999</v>
      </c>
      <c r="E34" s="313">
        <v>167.068175</v>
      </c>
      <c r="F34" s="313">
        <v>207.30480700000001</v>
      </c>
      <c r="G34" s="313">
        <v>204.597117</v>
      </c>
      <c r="J34" s="313">
        <v>6.3809519999999997</v>
      </c>
      <c r="N34" s="313">
        <v>0</v>
      </c>
      <c r="O34" s="313">
        <v>0</v>
      </c>
      <c r="P34" s="313">
        <v>0</v>
      </c>
      <c r="Q34" s="313">
        <v>-11.538808</v>
      </c>
      <c r="R34" s="313">
        <v>-87.649360000000001</v>
      </c>
      <c r="S34" s="313">
        <v>-123.83675600000001</v>
      </c>
      <c r="W34" s="313">
        <v>371.62728799999996</v>
      </c>
      <c r="AA34" s="313">
        <v>268.27403500000003</v>
      </c>
      <c r="AB34" s="313">
        <v>60.076354000000002</v>
      </c>
      <c r="AC34" s="313">
        <v>381.796179</v>
      </c>
      <c r="AD34" s="313">
        <v>147.92661999999999</v>
      </c>
      <c r="AE34" s="313">
        <v>581.02987400000006</v>
      </c>
      <c r="AG34" s="313">
        <v>671.96926900000005</v>
      </c>
      <c r="AK34" s="313">
        <v>-735.57263599999999</v>
      </c>
      <c r="AO34" s="313">
        <v>0</v>
      </c>
      <c r="AP34" s="313">
        <v>0</v>
      </c>
      <c r="AQ34" s="313">
        <v>0</v>
      </c>
      <c r="AR34" s="313">
        <v>1481.124139</v>
      </c>
      <c r="AS34" s="313">
        <v>1459.265236</v>
      </c>
      <c r="AT34" s="313">
        <v>993.85409399999992</v>
      </c>
      <c r="AX34" s="313">
        <v>341.45287000000002</v>
      </c>
      <c r="BB34" s="313">
        <v>-3.8417739999999996</v>
      </c>
      <c r="BC34" s="313">
        <v>-1.7894639999999999</v>
      </c>
      <c r="BD34" s="313">
        <v>-395.50107599999996</v>
      </c>
      <c r="BE34" s="313">
        <v>-30.090305999999998</v>
      </c>
      <c r="BF34" s="313">
        <v>124.84751299999999</v>
      </c>
      <c r="BH34" s="313">
        <v>-74.619966000000005</v>
      </c>
      <c r="BL34" s="313">
        <v>10.416577</v>
      </c>
    </row>
    <row r="35" spans="1:66">
      <c r="A35" s="313" t="s">
        <v>454</v>
      </c>
      <c r="B35" s="313">
        <v>0</v>
      </c>
      <c r="C35" s="313">
        <v>0</v>
      </c>
      <c r="D35" s="313">
        <v>0</v>
      </c>
      <c r="E35" s="313">
        <v>0</v>
      </c>
      <c r="F35" s="313">
        <v>0</v>
      </c>
      <c r="G35" s="313">
        <v>0</v>
      </c>
      <c r="J35" s="313">
        <v>0</v>
      </c>
      <c r="N35" s="313">
        <v>0</v>
      </c>
      <c r="O35" s="313">
        <v>0</v>
      </c>
      <c r="P35" s="313">
        <v>0</v>
      </c>
      <c r="Q35" s="313">
        <v>0</v>
      </c>
      <c r="R35" s="313">
        <v>0</v>
      </c>
      <c r="S35" s="313">
        <v>0</v>
      </c>
      <c r="W35" s="313">
        <v>0</v>
      </c>
      <c r="AA35" s="313">
        <v>0</v>
      </c>
      <c r="AB35" s="313">
        <v>0</v>
      </c>
      <c r="AC35" s="313">
        <v>0</v>
      </c>
      <c r="AD35" s="313">
        <v>0</v>
      </c>
      <c r="AE35" s="313">
        <v>0</v>
      </c>
      <c r="AG35" s="313">
        <v>0</v>
      </c>
      <c r="AK35" s="313">
        <v>0</v>
      </c>
      <c r="AO35" s="313">
        <v>0</v>
      </c>
      <c r="AP35" s="313">
        <v>0</v>
      </c>
      <c r="AQ35" s="313">
        <v>0</v>
      </c>
      <c r="AR35" s="313">
        <v>0</v>
      </c>
      <c r="AS35" s="313">
        <v>0</v>
      </c>
      <c r="AT35" s="313">
        <v>0</v>
      </c>
      <c r="AX35" s="313">
        <v>0</v>
      </c>
      <c r="BB35" s="313">
        <v>0</v>
      </c>
      <c r="BC35" s="313">
        <v>0</v>
      </c>
      <c r="BD35" s="313">
        <v>0</v>
      </c>
      <c r="BE35" s="313">
        <v>0</v>
      </c>
      <c r="BF35" s="313">
        <v>0</v>
      </c>
      <c r="BH35" s="313">
        <v>0</v>
      </c>
      <c r="BL35" s="313">
        <v>0</v>
      </c>
    </row>
    <row r="36" spans="1:66">
      <c r="A36" s="313" t="s">
        <v>455</v>
      </c>
      <c r="B36" s="313">
        <v>0</v>
      </c>
      <c r="C36" s="313">
        <v>0</v>
      </c>
      <c r="D36" s="313">
        <v>0</v>
      </c>
      <c r="E36" s="313">
        <v>0</v>
      </c>
      <c r="F36" s="313">
        <v>0</v>
      </c>
      <c r="G36" s="313">
        <v>0</v>
      </c>
      <c r="J36" s="313">
        <v>0</v>
      </c>
      <c r="N36" s="313">
        <v>0</v>
      </c>
      <c r="O36" s="313">
        <v>0</v>
      </c>
      <c r="P36" s="313">
        <v>0</v>
      </c>
      <c r="Q36" s="313">
        <v>0</v>
      </c>
      <c r="R36" s="313">
        <v>0</v>
      </c>
      <c r="S36" s="313">
        <v>0</v>
      </c>
      <c r="W36" s="313">
        <v>0</v>
      </c>
      <c r="AA36" s="313">
        <v>0</v>
      </c>
      <c r="AB36" s="313">
        <v>0</v>
      </c>
      <c r="AC36" s="313">
        <v>0</v>
      </c>
      <c r="AD36" s="313">
        <v>0</v>
      </c>
      <c r="AE36" s="313">
        <v>0</v>
      </c>
      <c r="AG36" s="313">
        <v>0</v>
      </c>
      <c r="AK36" s="313">
        <v>0</v>
      </c>
      <c r="AO36" s="313">
        <v>0</v>
      </c>
      <c r="AP36" s="313">
        <v>0</v>
      </c>
      <c r="AQ36" s="313">
        <v>0</v>
      </c>
      <c r="AR36" s="313">
        <v>0</v>
      </c>
      <c r="AS36" s="313">
        <v>0</v>
      </c>
      <c r="AT36" s="313">
        <v>0</v>
      </c>
      <c r="AX36" s="313">
        <v>0</v>
      </c>
      <c r="BB36" s="313">
        <v>0</v>
      </c>
      <c r="BC36" s="313">
        <v>0</v>
      </c>
      <c r="BD36" s="313">
        <v>0</v>
      </c>
      <c r="BE36" s="313">
        <v>0</v>
      </c>
      <c r="BF36" s="313">
        <v>0</v>
      </c>
      <c r="BH36" s="313">
        <v>0</v>
      </c>
      <c r="BL36" s="313">
        <v>0</v>
      </c>
    </row>
    <row r="37" spans="1:66">
      <c r="A37" s="313" t="s">
        <v>456</v>
      </c>
      <c r="B37" s="313">
        <v>0</v>
      </c>
      <c r="C37" s="313">
        <v>0</v>
      </c>
      <c r="D37" s="313">
        <v>0</v>
      </c>
      <c r="E37" s="313">
        <v>-6.5587999999999994E-2</v>
      </c>
      <c r="F37" s="313">
        <v>0</v>
      </c>
      <c r="G37" s="313">
        <v>0</v>
      </c>
      <c r="J37" s="313">
        <v>0</v>
      </c>
      <c r="N37" s="313">
        <v>0</v>
      </c>
      <c r="O37" s="313">
        <v>0</v>
      </c>
      <c r="P37" s="313">
        <v>0</v>
      </c>
      <c r="Q37" s="313">
        <v>0</v>
      </c>
      <c r="R37" s="313">
        <v>0</v>
      </c>
      <c r="S37" s="313">
        <v>0</v>
      </c>
      <c r="W37" s="313">
        <v>0</v>
      </c>
      <c r="AA37" s="313">
        <v>0</v>
      </c>
      <c r="AB37" s="313">
        <v>0</v>
      </c>
      <c r="AC37" s="313">
        <v>0</v>
      </c>
      <c r="AD37" s="313">
        <v>0</v>
      </c>
      <c r="AE37" s="313">
        <v>0</v>
      </c>
      <c r="AG37" s="313">
        <v>0</v>
      </c>
      <c r="AK37" s="313">
        <v>0</v>
      </c>
      <c r="AO37" s="313">
        <v>0</v>
      </c>
      <c r="AP37" s="313">
        <v>0</v>
      </c>
      <c r="AQ37" s="313">
        <v>0</v>
      </c>
      <c r="AR37" s="313">
        <v>0</v>
      </c>
      <c r="AS37" s="313">
        <v>0</v>
      </c>
      <c r="AT37" s="313">
        <v>0</v>
      </c>
      <c r="AX37" s="313">
        <v>0</v>
      </c>
      <c r="BB37" s="313">
        <v>0</v>
      </c>
      <c r="BC37" s="313">
        <v>0</v>
      </c>
      <c r="BD37" s="313">
        <v>0</v>
      </c>
      <c r="BE37" s="313">
        <v>0</v>
      </c>
      <c r="BF37" s="313">
        <v>0</v>
      </c>
      <c r="BH37" s="313">
        <v>0</v>
      </c>
      <c r="BL37" s="313">
        <v>0</v>
      </c>
    </row>
    <row r="38" spans="1:66">
      <c r="A38" s="313" t="s">
        <v>457</v>
      </c>
      <c r="B38" s="313">
        <v>0</v>
      </c>
      <c r="C38" s="313">
        <v>0</v>
      </c>
      <c r="D38" s="313">
        <v>1.4806820000000001</v>
      </c>
      <c r="E38" s="313">
        <v>0</v>
      </c>
      <c r="F38" s="313">
        <v>-18.737389</v>
      </c>
      <c r="G38" s="313">
        <v>-75.14734</v>
      </c>
      <c r="J38" s="313">
        <v>-5.0571830000000002</v>
      </c>
      <c r="N38" s="313">
        <v>0</v>
      </c>
      <c r="O38" s="313">
        <v>0</v>
      </c>
      <c r="P38" s="313">
        <v>-0.38846999999999998</v>
      </c>
      <c r="Q38" s="313">
        <v>4.9360000000000001E-2</v>
      </c>
      <c r="R38" s="313">
        <v>-3.3839999999999995E-2</v>
      </c>
      <c r="S38" s="313">
        <v>-4.2076000000000002</v>
      </c>
      <c r="W38" s="313">
        <v>-0.27088499999999999</v>
      </c>
      <c r="AA38" s="313">
        <v>0</v>
      </c>
      <c r="AB38" s="313">
        <v>0</v>
      </c>
      <c r="AC38" s="313">
        <v>-35.160715000000003</v>
      </c>
      <c r="AD38" s="313">
        <v>-0.89924799999999994</v>
      </c>
      <c r="AE38" s="313">
        <v>-0.24784699999999998</v>
      </c>
      <c r="AG38" s="313">
        <v>-124.090046</v>
      </c>
      <c r="AK38" s="313">
        <v>-16.525776</v>
      </c>
      <c r="AO38" s="313">
        <v>0</v>
      </c>
      <c r="AP38" s="313">
        <v>0</v>
      </c>
      <c r="AQ38" s="313">
        <v>0</v>
      </c>
      <c r="AR38" s="313">
        <v>32.189665000000005</v>
      </c>
      <c r="AS38" s="313">
        <v>50.304759999999995</v>
      </c>
      <c r="AT38" s="313">
        <v>-25.664283999999999</v>
      </c>
      <c r="AX38" s="313">
        <v>-21.92548</v>
      </c>
      <c r="BB38" s="313">
        <v>0</v>
      </c>
      <c r="BC38" s="313">
        <v>0</v>
      </c>
      <c r="BD38" s="313">
        <v>-18.348406000000001</v>
      </c>
      <c r="BE38" s="313">
        <v>0</v>
      </c>
      <c r="BF38" s="313">
        <v>0</v>
      </c>
      <c r="BH38" s="313">
        <v>4.0155000000000003E-2</v>
      </c>
      <c r="BL38" s="313">
        <v>0</v>
      </c>
    </row>
    <row r="39" spans="1:66">
      <c r="A39" s="313" t="s">
        <v>447</v>
      </c>
      <c r="B39" s="313">
        <v>402.51776100000001</v>
      </c>
      <c r="C39" s="313">
        <v>963.16732300000001</v>
      </c>
      <c r="D39" s="313">
        <v>1053.7401669999999</v>
      </c>
      <c r="E39" s="313">
        <v>898.80686700000001</v>
      </c>
      <c r="F39" s="313">
        <v>200.484621</v>
      </c>
      <c r="G39" s="313">
        <v>21128.242971</v>
      </c>
      <c r="J39" s="313">
        <v>0</v>
      </c>
      <c r="N39" s="313">
        <v>898.67735399999992</v>
      </c>
      <c r="O39" s="313">
        <v>1004.81213</v>
      </c>
      <c r="P39" s="313">
        <v>1417.4504689999999</v>
      </c>
      <c r="Q39" s="313">
        <v>668.56893300000002</v>
      </c>
      <c r="R39" s="313">
        <v>639.10587300000009</v>
      </c>
      <c r="S39" s="313">
        <v>582.42706900000007</v>
      </c>
      <c r="W39" s="313">
        <v>519.72225500000002</v>
      </c>
      <c r="AA39" s="313">
        <v>1136.672532</v>
      </c>
      <c r="AB39" s="313">
        <v>1431.9099679999999</v>
      </c>
      <c r="AC39" s="313">
        <v>1072.378584</v>
      </c>
      <c r="AD39" s="313">
        <v>2230.2621589999999</v>
      </c>
      <c r="AE39" s="313">
        <v>0</v>
      </c>
      <c r="AG39" s="313">
        <v>33.399062000000001</v>
      </c>
      <c r="AK39" s="313">
        <v>43.435204999999996</v>
      </c>
      <c r="AO39" s="313">
        <v>492.79942999999997</v>
      </c>
      <c r="AP39" s="313">
        <v>5274.153523</v>
      </c>
      <c r="AQ39" s="313">
        <v>3000.2834339999999</v>
      </c>
      <c r="AR39" s="313">
        <v>3457.3392090000002</v>
      </c>
      <c r="AS39" s="313">
        <v>3077.475625</v>
      </c>
      <c r="AT39" s="313">
        <v>7407.1633030000003</v>
      </c>
      <c r="AX39" s="313">
        <v>301.79593299999999</v>
      </c>
      <c r="BB39" s="313">
        <v>1577.049305</v>
      </c>
      <c r="BC39" s="313">
        <v>1412.8859669999999</v>
      </c>
      <c r="BD39" s="313">
        <v>40678.120110000003</v>
      </c>
      <c r="BE39" s="313">
        <v>808.94886900000006</v>
      </c>
      <c r="BF39" s="313">
        <v>1787.5688710000002</v>
      </c>
      <c r="BH39" s="313">
        <v>23.930092000000002</v>
      </c>
      <c r="BL39" s="313">
        <v>31.976393999999999</v>
      </c>
    </row>
    <row r="40" spans="1:66">
      <c r="A40" s="313" t="s">
        <v>448</v>
      </c>
      <c r="B40" s="313">
        <v>0</v>
      </c>
      <c r="C40" s="313">
        <v>0</v>
      </c>
      <c r="D40" s="313">
        <v>0</v>
      </c>
      <c r="E40" s="313">
        <v>0</v>
      </c>
      <c r="F40" s="313">
        <v>2022.113286</v>
      </c>
      <c r="G40" s="313">
        <v>2816.8994680000001</v>
      </c>
      <c r="J40" s="313">
        <v>1079.490982</v>
      </c>
      <c r="N40" s="313">
        <v>0</v>
      </c>
      <c r="O40" s="313">
        <v>0</v>
      </c>
      <c r="P40" s="313">
        <v>0</v>
      </c>
      <c r="Q40" s="313">
        <v>0</v>
      </c>
      <c r="R40" s="313">
        <v>45.829103000000003</v>
      </c>
      <c r="S40" s="313">
        <v>-71.535783999999992</v>
      </c>
      <c r="W40" s="313">
        <v>-854.49415199999999</v>
      </c>
      <c r="AA40" s="313">
        <v>0</v>
      </c>
      <c r="AB40" s="313">
        <v>0</v>
      </c>
      <c r="AC40" s="313">
        <v>0</v>
      </c>
      <c r="AD40" s="313">
        <v>0</v>
      </c>
      <c r="AE40" s="313">
        <v>2680.508722</v>
      </c>
      <c r="AG40" s="313">
        <v>2263.5684219999998</v>
      </c>
      <c r="AK40" s="313">
        <v>-561.11925599999995</v>
      </c>
      <c r="AO40" s="313">
        <v>0</v>
      </c>
      <c r="AP40" s="313">
        <v>0</v>
      </c>
      <c r="AQ40" s="313">
        <v>0</v>
      </c>
      <c r="AR40" s="313">
        <v>0</v>
      </c>
      <c r="AS40" s="313">
        <v>4559.8457369999996</v>
      </c>
      <c r="AT40" s="313">
        <v>4881.5836450000006</v>
      </c>
      <c r="AX40" s="313">
        <v>-1292.1356479999999</v>
      </c>
      <c r="BB40" s="313">
        <v>0</v>
      </c>
      <c r="BC40" s="313">
        <v>0</v>
      </c>
      <c r="BD40" s="313">
        <v>0</v>
      </c>
      <c r="BE40" s="313">
        <v>0</v>
      </c>
      <c r="BF40" s="313">
        <v>441.439863</v>
      </c>
      <c r="BH40" s="313">
        <v>2715.6796989999998</v>
      </c>
      <c r="BL40" s="313">
        <v>2078.9179920000001</v>
      </c>
    </row>
    <row r="41" spans="1:66">
      <c r="A41" s="313" t="s">
        <v>458</v>
      </c>
      <c r="B41" s="313">
        <v>0</v>
      </c>
      <c r="C41" s="313">
        <v>0</v>
      </c>
      <c r="D41" s="313">
        <v>1224.2268340000001</v>
      </c>
      <c r="E41" s="313">
        <v>2035.106186</v>
      </c>
      <c r="F41" s="313">
        <v>3925.6313979999995</v>
      </c>
      <c r="G41" s="313">
        <v>5730.3609200000001</v>
      </c>
      <c r="J41" s="313">
        <v>3956.5256429999999</v>
      </c>
      <c r="N41" s="313">
        <v>0</v>
      </c>
      <c r="O41" s="313">
        <v>0</v>
      </c>
      <c r="P41" s="313">
        <v>560.57608099999993</v>
      </c>
      <c r="Q41" s="313">
        <v>892.87593900000002</v>
      </c>
      <c r="R41" s="313">
        <v>1061.187854</v>
      </c>
      <c r="S41" s="313">
        <v>921.61469099999999</v>
      </c>
      <c r="W41" s="313">
        <v>695.06003600000008</v>
      </c>
      <c r="AA41" s="313">
        <v>0</v>
      </c>
      <c r="AB41" s="313">
        <v>0</v>
      </c>
      <c r="AC41" s="313">
        <v>4292.8523219999997</v>
      </c>
      <c r="AD41" s="313">
        <v>5354.2828090000003</v>
      </c>
      <c r="AE41" s="313">
        <v>4676.4791750000004</v>
      </c>
      <c r="AG41" s="313">
        <v>6230.0290690000002</v>
      </c>
      <c r="AK41" s="313">
        <v>4017.8182829999996</v>
      </c>
      <c r="AO41" s="313">
        <v>0</v>
      </c>
      <c r="AP41" s="313">
        <v>0</v>
      </c>
      <c r="AQ41" s="313">
        <v>2520.1223049999999</v>
      </c>
      <c r="AR41" s="313">
        <v>4028.5284560000005</v>
      </c>
      <c r="AS41" s="313">
        <v>6099.7083700000003</v>
      </c>
      <c r="AT41" s="313">
        <v>8971.3450909999992</v>
      </c>
      <c r="AX41" s="313">
        <v>4937.3954729999996</v>
      </c>
      <c r="BB41" s="313">
        <v>0</v>
      </c>
      <c r="BC41" s="313">
        <v>0</v>
      </c>
      <c r="BD41" s="313">
        <v>3102.206889</v>
      </c>
      <c r="BE41" s="313">
        <v>4362.9168390000004</v>
      </c>
      <c r="BF41" s="313">
        <v>4955.8822869999995</v>
      </c>
      <c r="BH41" s="313">
        <v>12123.336933</v>
      </c>
      <c r="BL41" s="313">
        <v>5769.2893199999999</v>
      </c>
    </row>
    <row r="42" spans="1:66">
      <c r="A42" s="313" t="s">
        <v>459</v>
      </c>
      <c r="B42" s="313">
        <v>0</v>
      </c>
      <c r="C42" s="313">
        <v>0</v>
      </c>
      <c r="D42" s="313">
        <v>0</v>
      </c>
      <c r="E42" s="313">
        <v>0</v>
      </c>
      <c r="F42" s="313">
        <v>0</v>
      </c>
      <c r="G42" s="313">
        <v>0</v>
      </c>
      <c r="J42" s="313">
        <v>0</v>
      </c>
      <c r="N42" s="313">
        <v>0</v>
      </c>
      <c r="O42" s="313">
        <v>0</v>
      </c>
      <c r="P42" s="313">
        <v>0</v>
      </c>
      <c r="Q42" s="313">
        <v>0</v>
      </c>
      <c r="R42" s="313">
        <v>0</v>
      </c>
      <c r="S42" s="313">
        <v>0</v>
      </c>
      <c r="W42" s="313">
        <v>0</v>
      </c>
      <c r="AA42" s="313">
        <v>0</v>
      </c>
      <c r="AB42" s="313">
        <v>0</v>
      </c>
      <c r="AC42" s="313">
        <v>0</v>
      </c>
      <c r="AD42" s="313">
        <v>0</v>
      </c>
      <c r="AE42" s="313">
        <v>0</v>
      </c>
      <c r="AG42" s="313">
        <v>0</v>
      </c>
      <c r="AK42" s="313">
        <v>0</v>
      </c>
      <c r="AO42" s="313">
        <v>0</v>
      </c>
      <c r="AP42" s="313">
        <v>0</v>
      </c>
      <c r="AQ42" s="313">
        <v>0</v>
      </c>
      <c r="AR42" s="313">
        <v>0</v>
      </c>
      <c r="AS42" s="313">
        <v>0</v>
      </c>
      <c r="AT42" s="313">
        <v>0</v>
      </c>
      <c r="AX42" s="313">
        <v>0</v>
      </c>
      <c r="BB42" s="313">
        <v>0</v>
      </c>
      <c r="BC42" s="313">
        <v>0</v>
      </c>
      <c r="BD42" s="313">
        <v>0</v>
      </c>
      <c r="BE42" s="313">
        <v>0</v>
      </c>
      <c r="BF42" s="313">
        <v>0</v>
      </c>
      <c r="BH42" s="313">
        <v>0</v>
      </c>
      <c r="BL42" s="313">
        <v>0</v>
      </c>
    </row>
    <row r="43" spans="1:66">
      <c r="A43" s="313" t="s">
        <v>460</v>
      </c>
      <c r="B43" s="313">
        <v>0</v>
      </c>
      <c r="C43" s="313">
        <v>0</v>
      </c>
      <c r="D43" s="313">
        <v>0</v>
      </c>
      <c r="E43" s="313">
        <v>0</v>
      </c>
      <c r="F43" s="313">
        <v>0</v>
      </c>
      <c r="G43" s="313">
        <v>0</v>
      </c>
      <c r="J43" s="313">
        <v>0</v>
      </c>
      <c r="N43" s="313">
        <v>0</v>
      </c>
      <c r="O43" s="313">
        <v>0</v>
      </c>
      <c r="P43" s="313">
        <v>0</v>
      </c>
      <c r="Q43" s="313">
        <v>0</v>
      </c>
      <c r="R43" s="313">
        <v>0</v>
      </c>
      <c r="S43" s="313">
        <v>0</v>
      </c>
      <c r="W43" s="313">
        <v>0</v>
      </c>
      <c r="AA43" s="313">
        <v>0</v>
      </c>
      <c r="AB43" s="313">
        <v>0</v>
      </c>
      <c r="AC43" s="313">
        <v>0</v>
      </c>
      <c r="AD43" s="313">
        <v>0</v>
      </c>
      <c r="AE43" s="313">
        <v>0</v>
      </c>
      <c r="AG43" s="313">
        <v>0</v>
      </c>
      <c r="AK43" s="313">
        <v>0</v>
      </c>
      <c r="AO43" s="313">
        <v>0</v>
      </c>
      <c r="AP43" s="313">
        <v>0</v>
      </c>
      <c r="AQ43" s="313">
        <v>0</v>
      </c>
      <c r="AR43" s="313">
        <v>0</v>
      </c>
      <c r="AS43" s="313">
        <v>0</v>
      </c>
      <c r="AT43" s="313">
        <v>0</v>
      </c>
      <c r="AX43" s="313">
        <v>0</v>
      </c>
      <c r="BB43" s="313">
        <v>0</v>
      </c>
      <c r="BC43" s="313">
        <v>0</v>
      </c>
      <c r="BD43" s="313">
        <v>0</v>
      </c>
      <c r="BE43" s="313">
        <v>0</v>
      </c>
      <c r="BF43" s="313">
        <v>0</v>
      </c>
      <c r="BH43" s="313">
        <v>0</v>
      </c>
      <c r="BL43" s="313">
        <v>0</v>
      </c>
    </row>
    <row r="44" spans="1:66">
      <c r="A44" s="333" t="s">
        <v>39</v>
      </c>
      <c r="B44" s="333">
        <v>4189.0665979999994</v>
      </c>
      <c r="C44" s="333">
        <v>5319.1227899999994</v>
      </c>
      <c r="D44" s="333">
        <v>1067.721957</v>
      </c>
      <c r="E44" s="333">
        <v>4889.384994</v>
      </c>
      <c r="F44" s="333">
        <v>13394.388536</v>
      </c>
      <c r="G44" s="333">
        <v>5106.2334490000003</v>
      </c>
      <c r="H44" s="333"/>
      <c r="I44" s="333"/>
      <c r="J44" s="333">
        <v>4926.905745</v>
      </c>
      <c r="K44" s="333"/>
      <c r="L44" s="333"/>
      <c r="M44" s="333"/>
      <c r="N44" s="333">
        <v>3773.8133750000002</v>
      </c>
      <c r="O44" s="333">
        <v>4897.0529749999996</v>
      </c>
      <c r="P44" s="333">
        <v>6510.1374679999999</v>
      </c>
      <c r="Q44" s="333">
        <v>9322.2669189999997</v>
      </c>
      <c r="R44" s="333">
        <v>8759.7504129999998</v>
      </c>
      <c r="S44" s="333">
        <v>7640.5809170000002</v>
      </c>
      <c r="T44" s="333"/>
      <c r="U44" s="333"/>
      <c r="V44" s="333"/>
      <c r="W44" s="333">
        <v>-3019.0599590000002</v>
      </c>
      <c r="X44" s="333"/>
      <c r="Y44" s="333"/>
      <c r="Z44" s="333"/>
      <c r="AA44" s="333">
        <v>5753.3733050000001</v>
      </c>
      <c r="AB44" s="333">
        <v>11266.144584</v>
      </c>
      <c r="AC44" s="333">
        <v>17807.264306000001</v>
      </c>
      <c r="AD44" s="333">
        <v>26242.991437000001</v>
      </c>
      <c r="AE44" s="333">
        <v>17234.804901</v>
      </c>
      <c r="AF44" s="333"/>
      <c r="AG44" s="333">
        <v>20951.936268999998</v>
      </c>
      <c r="AH44" s="333"/>
      <c r="AI44" s="333"/>
      <c r="AJ44" s="333"/>
      <c r="AK44" s="333">
        <v>11839.721448999999</v>
      </c>
      <c r="AL44" s="333"/>
      <c r="AM44" s="333"/>
      <c r="AN44" s="333"/>
      <c r="AO44" s="333">
        <v>21862.684319</v>
      </c>
      <c r="AP44" s="333">
        <v>30541.251589999996</v>
      </c>
      <c r="AQ44" s="333">
        <v>45971.628607999999</v>
      </c>
      <c r="AR44" s="333">
        <v>59607.129857000007</v>
      </c>
      <c r="AS44" s="333">
        <v>53684.838228000001</v>
      </c>
      <c r="AT44" s="333">
        <v>31917.368130000003</v>
      </c>
      <c r="AU44" s="333"/>
      <c r="AV44" s="333"/>
      <c r="AW44" s="333"/>
      <c r="AX44" s="333">
        <v>22779.006644000001</v>
      </c>
      <c r="AY44" s="333"/>
      <c r="AZ44" s="333"/>
      <c r="BA44" s="333"/>
      <c r="BB44" s="333">
        <v>4828.8799630000003</v>
      </c>
      <c r="BC44" s="333">
        <v>8276.0112959999988</v>
      </c>
      <c r="BD44" s="333">
        <v>-31334.140418999999</v>
      </c>
      <c r="BE44" s="333">
        <v>12663.218869</v>
      </c>
      <c r="BF44" s="333">
        <v>15327.671813999999</v>
      </c>
      <c r="BG44" s="333"/>
      <c r="BH44" s="333">
        <v>26372.667946999998</v>
      </c>
      <c r="BI44" s="333"/>
      <c r="BJ44" s="333"/>
      <c r="BK44" s="333"/>
      <c r="BL44" s="333">
        <v>2645.0524649999998</v>
      </c>
      <c r="BM44" s="333"/>
      <c r="BN44" s="333"/>
    </row>
    <row r="45" spans="1:66">
      <c r="A45" s="313" t="s">
        <v>461</v>
      </c>
      <c r="B45" s="313">
        <v>491.58133399999997</v>
      </c>
      <c r="C45" s="313">
        <v>955.18505700000003</v>
      </c>
      <c r="D45" s="313">
        <v>0</v>
      </c>
      <c r="E45" s="313">
        <v>0.28543600000000002</v>
      </c>
      <c r="F45" s="313">
        <v>0</v>
      </c>
      <c r="G45" s="313">
        <v>0</v>
      </c>
      <c r="J45" s="313">
        <v>229.91577799999999</v>
      </c>
      <c r="N45" s="313">
        <v>1462.8131149999999</v>
      </c>
      <c r="O45" s="313">
        <v>1190.699642</v>
      </c>
      <c r="P45" s="313">
        <v>649.81301500000006</v>
      </c>
      <c r="Q45" s="313">
        <v>373.71909900000003</v>
      </c>
      <c r="R45" s="313">
        <v>325.90071499999999</v>
      </c>
      <c r="S45" s="313">
        <v>117.945824</v>
      </c>
      <c r="W45" s="313">
        <v>50.385119000000003</v>
      </c>
      <c r="AA45" s="313">
        <v>1300.9199140000001</v>
      </c>
      <c r="AB45" s="313">
        <v>2222.1447090000001</v>
      </c>
      <c r="AC45" s="313">
        <v>394.84204999999997</v>
      </c>
      <c r="AD45" s="313">
        <v>355.59842799999996</v>
      </c>
      <c r="AE45" s="313">
        <v>15.367576999999999</v>
      </c>
      <c r="AG45" s="313">
        <v>5.451441</v>
      </c>
      <c r="AK45" s="313">
        <v>6.9915410000000007</v>
      </c>
      <c r="AO45" s="313">
        <v>2892.6872800000001</v>
      </c>
      <c r="AP45" s="313">
        <v>6082.8249560000004</v>
      </c>
      <c r="AQ45" s="313">
        <v>3860.390296</v>
      </c>
      <c r="AR45" s="313">
        <v>441.21845400000001</v>
      </c>
      <c r="AS45" s="313">
        <v>927.12774499999989</v>
      </c>
      <c r="AT45" s="313">
        <v>1527.5402880000001</v>
      </c>
      <c r="AX45" s="313">
        <v>815.88611500000002</v>
      </c>
      <c r="BB45" s="313">
        <v>3489.8253549999995</v>
      </c>
      <c r="BC45" s="313">
        <v>4471.5451329999996</v>
      </c>
      <c r="BD45" s="313">
        <v>1417.075126</v>
      </c>
      <c r="BE45" s="313">
        <v>0.93100699999999992</v>
      </c>
      <c r="BF45" s="313">
        <v>0.28223700000000002</v>
      </c>
      <c r="BH45" s="313">
        <v>0.34</v>
      </c>
      <c r="BL45" s="313">
        <v>9.9665910000000011</v>
      </c>
    </row>
    <row r="46" spans="1:66">
      <c r="A46" s="313" t="s">
        <v>462</v>
      </c>
      <c r="B46" s="313">
        <v>0</v>
      </c>
      <c r="C46" s="313">
        <v>0</v>
      </c>
      <c r="D46" s="313">
        <v>0</v>
      </c>
      <c r="E46" s="313">
        <v>0</v>
      </c>
      <c r="F46" s="313">
        <v>0</v>
      </c>
      <c r="G46" s="313">
        <v>0</v>
      </c>
      <c r="J46" s="313">
        <v>0</v>
      </c>
      <c r="N46" s="313">
        <v>0.08</v>
      </c>
      <c r="O46" s="313">
        <v>0</v>
      </c>
      <c r="P46" s="313">
        <v>0</v>
      </c>
      <c r="Q46" s="313">
        <v>0</v>
      </c>
      <c r="R46" s="313">
        <v>0</v>
      </c>
      <c r="S46" s="313">
        <v>0</v>
      </c>
      <c r="W46" s="313">
        <v>0</v>
      </c>
      <c r="AA46" s="313">
        <v>0.36581900000000001</v>
      </c>
      <c r="AB46" s="313">
        <v>14.258613</v>
      </c>
      <c r="AC46" s="313">
        <v>0</v>
      </c>
      <c r="AD46" s="313">
        <v>0</v>
      </c>
      <c r="AE46" s="313">
        <v>0</v>
      </c>
      <c r="AG46" s="313">
        <v>0</v>
      </c>
      <c r="AK46" s="313">
        <v>0</v>
      </c>
      <c r="AO46" s="313">
        <v>8.8189270000000004</v>
      </c>
      <c r="AP46" s="313">
        <v>0.44244499999999998</v>
      </c>
      <c r="AQ46" s="313">
        <v>0</v>
      </c>
      <c r="AR46" s="313">
        <v>0</v>
      </c>
      <c r="AS46" s="313">
        <v>0</v>
      </c>
      <c r="AT46" s="313">
        <v>0</v>
      </c>
      <c r="AX46" s="313">
        <v>0</v>
      </c>
      <c r="BB46" s="313">
        <v>0</v>
      </c>
      <c r="BC46" s="313">
        <v>0.17797299999999999</v>
      </c>
      <c r="BD46" s="313">
        <v>0</v>
      </c>
      <c r="BE46" s="313">
        <v>0</v>
      </c>
      <c r="BF46" s="313">
        <v>0</v>
      </c>
      <c r="BH46" s="313">
        <v>0</v>
      </c>
      <c r="BL46" s="313">
        <v>0</v>
      </c>
    </row>
    <row r="47" spans="1:66">
      <c r="A47" s="313" t="s">
        <v>463</v>
      </c>
      <c r="B47" s="313">
        <v>8.3614679999999986</v>
      </c>
      <c r="C47" s="313">
        <v>10</v>
      </c>
      <c r="D47" s="313">
        <v>2.2037619999999998</v>
      </c>
      <c r="E47" s="313">
        <v>120.50622800000001</v>
      </c>
      <c r="F47" s="313">
        <v>9.3663999999999997E-2</v>
      </c>
      <c r="G47" s="313">
        <v>129.06789499999999</v>
      </c>
      <c r="J47" s="313">
        <v>2.2949540000000002</v>
      </c>
      <c r="N47" s="313">
        <v>6.3286300000000004</v>
      </c>
      <c r="O47" s="313">
        <v>8.5629530000000003</v>
      </c>
      <c r="P47" s="313">
        <v>11.831192999999999</v>
      </c>
      <c r="Q47" s="313">
        <v>158.13837000000001</v>
      </c>
      <c r="R47" s="313">
        <v>88.00756899999999</v>
      </c>
      <c r="S47" s="313">
        <v>13.263828</v>
      </c>
      <c r="W47" s="313">
        <v>3.6426199999999995</v>
      </c>
      <c r="AA47" s="313">
        <v>35.445864</v>
      </c>
      <c r="AB47" s="313">
        <v>44.652580999999998</v>
      </c>
      <c r="AC47" s="313">
        <v>11.227078000000001</v>
      </c>
      <c r="AD47" s="313">
        <v>39.470036999999998</v>
      </c>
      <c r="AE47" s="313">
        <v>78.528264000000007</v>
      </c>
      <c r="AG47" s="313">
        <v>24.299070999999998</v>
      </c>
      <c r="AK47" s="313">
        <v>13.653210999999999</v>
      </c>
      <c r="AO47" s="313">
        <v>16.756059</v>
      </c>
      <c r="AP47" s="313">
        <v>8.2664690000000007</v>
      </c>
      <c r="AQ47" s="313">
        <v>186.40785299999999</v>
      </c>
      <c r="AR47" s="313">
        <v>1440.3706079999999</v>
      </c>
      <c r="AS47" s="313">
        <v>171.955163</v>
      </c>
      <c r="AT47" s="313">
        <v>42.310256000000003</v>
      </c>
      <c r="AX47" s="313">
        <v>261.075492</v>
      </c>
      <c r="BB47" s="313">
        <v>90.692984999999993</v>
      </c>
      <c r="BC47" s="313">
        <v>157.98264399999999</v>
      </c>
      <c r="BD47" s="313">
        <v>18.651038</v>
      </c>
      <c r="BE47" s="313">
        <v>18.128340999999999</v>
      </c>
      <c r="BF47" s="313">
        <v>14.820625</v>
      </c>
      <c r="BH47" s="313">
        <v>503.96463200000005</v>
      </c>
      <c r="BL47" s="313">
        <v>2.4565349999999997</v>
      </c>
    </row>
    <row r="48" spans="1:66">
      <c r="A48" s="313" t="s">
        <v>464</v>
      </c>
      <c r="B48" s="313">
        <v>8.3614679999999986</v>
      </c>
      <c r="C48" s="313">
        <v>0</v>
      </c>
      <c r="D48" s="313">
        <v>0</v>
      </c>
      <c r="E48" s="313">
        <v>0</v>
      </c>
      <c r="F48" s="313">
        <v>0</v>
      </c>
      <c r="G48" s="313">
        <v>0</v>
      </c>
      <c r="J48" s="313">
        <v>0</v>
      </c>
      <c r="N48" s="313">
        <v>6.3286300000000004</v>
      </c>
      <c r="O48" s="313">
        <v>8.1340679999999992</v>
      </c>
      <c r="P48" s="313">
        <v>0</v>
      </c>
      <c r="Q48" s="313">
        <v>0</v>
      </c>
      <c r="R48" s="313">
        <v>0</v>
      </c>
      <c r="S48" s="313">
        <v>0</v>
      </c>
      <c r="W48" s="313">
        <v>0</v>
      </c>
      <c r="AA48" s="313">
        <v>22.680498999999998</v>
      </c>
      <c r="AB48" s="313">
        <v>40.934253000000005</v>
      </c>
      <c r="AC48" s="313">
        <v>0</v>
      </c>
      <c r="AD48" s="313">
        <v>0</v>
      </c>
      <c r="AE48" s="313">
        <v>0</v>
      </c>
      <c r="AG48" s="313">
        <v>0</v>
      </c>
      <c r="AK48" s="313">
        <v>0</v>
      </c>
      <c r="AO48" s="313">
        <v>14.221192000000002</v>
      </c>
      <c r="AP48" s="313">
        <v>6.9643479999999993</v>
      </c>
      <c r="AQ48" s="313">
        <v>0</v>
      </c>
      <c r="AR48" s="313">
        <v>0</v>
      </c>
      <c r="AS48" s="313">
        <v>0</v>
      </c>
      <c r="AT48" s="313">
        <v>0</v>
      </c>
      <c r="AX48" s="313">
        <v>0</v>
      </c>
      <c r="BB48" s="313">
        <v>77.738168000000002</v>
      </c>
      <c r="BC48" s="313">
        <v>129.182636</v>
      </c>
      <c r="BD48" s="313">
        <v>0</v>
      </c>
      <c r="BE48" s="313">
        <v>0</v>
      </c>
      <c r="BF48" s="313">
        <v>0</v>
      </c>
      <c r="BH48" s="313">
        <v>0</v>
      </c>
      <c r="BL48" s="313">
        <v>0</v>
      </c>
    </row>
    <row r="49" spans="1:66">
      <c r="A49" s="313" t="s">
        <v>465</v>
      </c>
      <c r="B49" s="313">
        <v>0</v>
      </c>
      <c r="C49" s="313">
        <v>0</v>
      </c>
      <c r="D49" s="313">
        <v>0</v>
      </c>
      <c r="E49" s="313">
        <v>0</v>
      </c>
      <c r="F49" s="313">
        <v>0</v>
      </c>
      <c r="G49" s="313">
        <v>0</v>
      </c>
      <c r="J49" s="313">
        <v>0</v>
      </c>
      <c r="N49" s="313">
        <v>0</v>
      </c>
      <c r="O49" s="313">
        <v>0</v>
      </c>
      <c r="P49" s="313">
        <v>0</v>
      </c>
      <c r="Q49" s="313">
        <v>0</v>
      </c>
      <c r="R49" s="313">
        <v>0</v>
      </c>
      <c r="S49" s="313">
        <v>0</v>
      </c>
      <c r="W49" s="313">
        <v>0</v>
      </c>
      <c r="AA49" s="313">
        <v>0</v>
      </c>
      <c r="AB49" s="313">
        <v>0</v>
      </c>
      <c r="AC49" s="313">
        <v>0</v>
      </c>
      <c r="AD49" s="313">
        <v>0</v>
      </c>
      <c r="AE49" s="313">
        <v>0</v>
      </c>
      <c r="AG49" s="313">
        <v>0</v>
      </c>
      <c r="AK49" s="313">
        <v>0</v>
      </c>
      <c r="AO49" s="313">
        <v>0</v>
      </c>
      <c r="AP49" s="313">
        <v>0</v>
      </c>
      <c r="AQ49" s="313">
        <v>0</v>
      </c>
      <c r="AR49" s="313">
        <v>0</v>
      </c>
      <c r="AS49" s="313">
        <v>0</v>
      </c>
      <c r="AT49" s="313">
        <v>0</v>
      </c>
      <c r="AX49" s="313">
        <v>0</v>
      </c>
      <c r="BB49" s="313">
        <v>0</v>
      </c>
      <c r="BC49" s="313">
        <v>0</v>
      </c>
      <c r="BD49" s="313">
        <v>0</v>
      </c>
      <c r="BE49" s="313">
        <v>0</v>
      </c>
      <c r="BF49" s="313">
        <v>0</v>
      </c>
      <c r="BH49" s="313">
        <v>0</v>
      </c>
      <c r="BL49" s="313">
        <v>0</v>
      </c>
    </row>
    <row r="50" spans="1:66">
      <c r="A50" s="313" t="s">
        <v>466</v>
      </c>
      <c r="B50" s="313">
        <v>0</v>
      </c>
      <c r="C50" s="313">
        <v>0</v>
      </c>
      <c r="D50" s="313">
        <v>0</v>
      </c>
      <c r="E50" s="313">
        <v>0</v>
      </c>
      <c r="F50" s="313">
        <v>0</v>
      </c>
      <c r="G50" s="313">
        <v>0</v>
      </c>
      <c r="J50" s="313">
        <v>0</v>
      </c>
      <c r="N50" s="313">
        <v>0</v>
      </c>
      <c r="O50" s="313">
        <v>0</v>
      </c>
      <c r="P50" s="313">
        <v>0</v>
      </c>
      <c r="Q50" s="313">
        <v>0</v>
      </c>
      <c r="R50" s="313">
        <v>0</v>
      </c>
      <c r="S50" s="313">
        <v>0</v>
      </c>
      <c r="W50" s="313">
        <v>0</v>
      </c>
      <c r="AA50" s="313">
        <v>0</v>
      </c>
      <c r="AB50" s="313">
        <v>0</v>
      </c>
      <c r="AC50" s="313">
        <v>0</v>
      </c>
      <c r="AD50" s="313">
        <v>0</v>
      </c>
      <c r="AE50" s="313">
        <v>0</v>
      </c>
      <c r="AG50" s="313">
        <v>0</v>
      </c>
      <c r="AK50" s="313">
        <v>0</v>
      </c>
      <c r="AO50" s="313">
        <v>0</v>
      </c>
      <c r="AP50" s="313">
        <v>0</v>
      </c>
      <c r="AQ50" s="313">
        <v>0</v>
      </c>
      <c r="AR50" s="313">
        <v>0</v>
      </c>
      <c r="AS50" s="313">
        <v>0</v>
      </c>
      <c r="AT50" s="313">
        <v>0</v>
      </c>
      <c r="AX50" s="313">
        <v>0</v>
      </c>
      <c r="BB50" s="313">
        <v>0</v>
      </c>
      <c r="BC50" s="313">
        <v>0</v>
      </c>
      <c r="BD50" s="313">
        <v>0</v>
      </c>
      <c r="BE50" s="313">
        <v>0</v>
      </c>
      <c r="BF50" s="313">
        <v>0</v>
      </c>
      <c r="BH50" s="313">
        <v>0</v>
      </c>
      <c r="BL50" s="313">
        <v>0</v>
      </c>
    </row>
    <row r="51" spans="1:66">
      <c r="A51" s="333" t="s">
        <v>42</v>
      </c>
      <c r="B51" s="333">
        <v>4672.2864639999998</v>
      </c>
      <c r="C51" s="333">
        <v>6264.307847</v>
      </c>
      <c r="D51" s="333">
        <v>1065.5181949999999</v>
      </c>
      <c r="E51" s="333">
        <v>4769.1642019999999</v>
      </c>
      <c r="F51" s="333">
        <v>13394.294872</v>
      </c>
      <c r="G51" s="333">
        <v>4977.1655540000002</v>
      </c>
      <c r="H51" s="333"/>
      <c r="I51" s="333"/>
      <c r="J51" s="333">
        <v>5154.5265689999997</v>
      </c>
      <c r="K51" s="333"/>
      <c r="L51" s="333"/>
      <c r="M51" s="333"/>
      <c r="N51" s="333">
        <v>5230.2978600000006</v>
      </c>
      <c r="O51" s="333">
        <v>6079.1896640000004</v>
      </c>
      <c r="P51" s="333">
        <v>7148.1192900000005</v>
      </c>
      <c r="Q51" s="333">
        <v>9537.8476480000008</v>
      </c>
      <c r="R51" s="333">
        <v>8997.6435590000001</v>
      </c>
      <c r="S51" s="333">
        <v>7745.2629129999996</v>
      </c>
      <c r="T51" s="333"/>
      <c r="U51" s="333"/>
      <c r="V51" s="333"/>
      <c r="W51" s="333">
        <v>-2972.3174600000002</v>
      </c>
      <c r="X51" s="333"/>
      <c r="Y51" s="333"/>
      <c r="Z51" s="333"/>
      <c r="AA51" s="333">
        <v>7018.8473549999999</v>
      </c>
      <c r="AB51" s="333">
        <v>13443.636712000001</v>
      </c>
      <c r="AC51" s="333">
        <v>18190.879278</v>
      </c>
      <c r="AD51" s="333">
        <v>26559.119827999999</v>
      </c>
      <c r="AE51" s="333">
        <v>17171.644214</v>
      </c>
      <c r="AF51" s="333"/>
      <c r="AG51" s="333">
        <v>20933.088638999998</v>
      </c>
      <c r="AH51" s="333"/>
      <c r="AI51" s="333"/>
      <c r="AJ51" s="333"/>
      <c r="AK51" s="333">
        <v>11833.059779000001</v>
      </c>
      <c r="AL51" s="333"/>
      <c r="AM51" s="333"/>
      <c r="AN51" s="333"/>
      <c r="AO51" s="333">
        <v>24738.615539999999</v>
      </c>
      <c r="AP51" s="333">
        <v>36615.810076999995</v>
      </c>
      <c r="AQ51" s="333">
        <v>49645.611051</v>
      </c>
      <c r="AR51" s="333">
        <v>58607.977702999997</v>
      </c>
      <c r="AS51" s="333">
        <v>54440.01081</v>
      </c>
      <c r="AT51" s="333">
        <v>33402.598162000002</v>
      </c>
      <c r="AU51" s="333"/>
      <c r="AV51" s="333"/>
      <c r="AW51" s="333"/>
      <c r="AX51" s="333">
        <v>23333.817266999999</v>
      </c>
      <c r="AY51" s="333"/>
      <c r="AZ51" s="333"/>
      <c r="BA51" s="333"/>
      <c r="BB51" s="333">
        <v>8228.0123330000006</v>
      </c>
      <c r="BC51" s="333">
        <v>12589.573784999999</v>
      </c>
      <c r="BD51" s="333">
        <v>-29935.716331</v>
      </c>
      <c r="BE51" s="333">
        <v>12646.021535</v>
      </c>
      <c r="BF51" s="333">
        <v>15313.133425999999</v>
      </c>
      <c r="BG51" s="333"/>
      <c r="BH51" s="333">
        <v>25869.043314999999</v>
      </c>
      <c r="BI51" s="333"/>
      <c r="BJ51" s="333"/>
      <c r="BK51" s="333"/>
      <c r="BL51" s="333">
        <v>2652.5625210000003</v>
      </c>
      <c r="BM51" s="333"/>
      <c r="BN51" s="333"/>
    </row>
    <row r="52" spans="1:66">
      <c r="A52" s="313" t="s">
        <v>467</v>
      </c>
      <c r="B52" s="313">
        <v>384.45587799999998</v>
      </c>
      <c r="C52" s="313">
        <v>843.34179399999994</v>
      </c>
      <c r="D52" s="313">
        <v>-846.80642200000011</v>
      </c>
      <c r="E52" s="313">
        <v>-353.78817299999997</v>
      </c>
      <c r="F52" s="313">
        <v>817.21462699999995</v>
      </c>
      <c r="G52" s="313">
        <v>375.80582200000003</v>
      </c>
      <c r="J52" s="313">
        <v>-281.80487900000003</v>
      </c>
      <c r="N52" s="313">
        <v>490.09355099999999</v>
      </c>
      <c r="O52" s="313">
        <v>533.39572399999997</v>
      </c>
      <c r="P52" s="313">
        <v>602.89908500000001</v>
      </c>
      <c r="Q52" s="313">
        <v>906.30630099999996</v>
      </c>
      <c r="R52" s="313">
        <v>167.30801100000002</v>
      </c>
      <c r="S52" s="313">
        <v>744.24801300000001</v>
      </c>
      <c r="W52" s="313">
        <v>-144.95853200000002</v>
      </c>
      <c r="AA52" s="313">
        <v>-487.46054500000002</v>
      </c>
      <c r="AB52" s="313">
        <v>-15.453327999999999</v>
      </c>
      <c r="AC52" s="313">
        <v>256.87036899999998</v>
      </c>
      <c r="AD52" s="313">
        <v>2115.3010519999998</v>
      </c>
      <c r="AE52" s="313">
        <v>1899.3997750000001</v>
      </c>
      <c r="AG52" s="313">
        <v>3451.5636479999998</v>
      </c>
      <c r="AK52" s="313">
        <v>1581.571668</v>
      </c>
      <c r="AO52" s="313">
        <v>1940.8174199999999</v>
      </c>
      <c r="AP52" s="313">
        <v>3230.4242319999998</v>
      </c>
      <c r="AQ52" s="313">
        <v>5708.366438</v>
      </c>
      <c r="AR52" s="313">
        <v>5561.492988</v>
      </c>
      <c r="AS52" s="313">
        <v>4078.5646070000003</v>
      </c>
      <c r="AT52" s="313">
        <v>2095.659345</v>
      </c>
      <c r="AX52" s="313">
        <v>1418.9704750000001</v>
      </c>
      <c r="BB52" s="313">
        <v>1159.370347</v>
      </c>
      <c r="BC52" s="313">
        <v>1453.2093090000001</v>
      </c>
      <c r="BD52" s="313">
        <v>792.9545730000001</v>
      </c>
      <c r="BE52" s="313">
        <v>429.16482400000001</v>
      </c>
      <c r="BF52" s="313">
        <v>1183.947191</v>
      </c>
      <c r="BH52" s="313">
        <v>1432.580285</v>
      </c>
      <c r="BL52" s="313">
        <v>-1167.5213000000001</v>
      </c>
    </row>
    <row r="53" spans="1:66">
      <c r="A53" s="313" t="s">
        <v>468</v>
      </c>
      <c r="B53" s="313">
        <v>0</v>
      </c>
      <c r="C53" s="313">
        <v>0</v>
      </c>
      <c r="D53" s="313">
        <v>0</v>
      </c>
      <c r="E53" s="313">
        <v>0</v>
      </c>
      <c r="F53" s="313">
        <v>0</v>
      </c>
      <c r="G53" s="313">
        <v>0</v>
      </c>
      <c r="J53" s="313">
        <v>0</v>
      </c>
      <c r="N53" s="313">
        <v>0</v>
      </c>
      <c r="O53" s="313">
        <v>0</v>
      </c>
      <c r="P53" s="313">
        <v>0</v>
      </c>
      <c r="Q53" s="313">
        <v>0</v>
      </c>
      <c r="R53" s="313">
        <v>0</v>
      </c>
      <c r="S53" s="313">
        <v>0</v>
      </c>
      <c r="W53" s="313">
        <v>0</v>
      </c>
      <c r="AA53" s="313">
        <v>0</v>
      </c>
      <c r="AB53" s="313">
        <v>0</v>
      </c>
      <c r="AC53" s="313">
        <v>0</v>
      </c>
      <c r="AD53" s="313">
        <v>0</v>
      </c>
      <c r="AE53" s="313">
        <v>0</v>
      </c>
      <c r="AG53" s="313">
        <v>0</v>
      </c>
      <c r="AK53" s="313">
        <v>0</v>
      </c>
      <c r="AO53" s="313">
        <v>0</v>
      </c>
      <c r="AP53" s="313">
        <v>0</v>
      </c>
      <c r="AQ53" s="313">
        <v>0</v>
      </c>
      <c r="AR53" s="313">
        <v>0</v>
      </c>
      <c r="AS53" s="313">
        <v>0</v>
      </c>
      <c r="AT53" s="313">
        <v>0</v>
      </c>
      <c r="AX53" s="313">
        <v>0</v>
      </c>
      <c r="BB53" s="313">
        <v>0</v>
      </c>
      <c r="BC53" s="313">
        <v>0</v>
      </c>
      <c r="BD53" s="313">
        <v>0</v>
      </c>
      <c r="BE53" s="313">
        <v>0</v>
      </c>
      <c r="BF53" s="313">
        <v>0</v>
      </c>
      <c r="BH53" s="313">
        <v>0</v>
      </c>
      <c r="BL53" s="313">
        <v>0</v>
      </c>
    </row>
    <row r="54" spans="1:66">
      <c r="A54" s="313" t="s">
        <v>469</v>
      </c>
      <c r="B54" s="313">
        <v>0</v>
      </c>
      <c r="C54" s="313">
        <v>0</v>
      </c>
      <c r="D54" s="313">
        <v>0</v>
      </c>
      <c r="E54" s="313">
        <v>0</v>
      </c>
      <c r="F54" s="313">
        <v>0</v>
      </c>
      <c r="G54" s="313">
        <v>0</v>
      </c>
      <c r="J54" s="313">
        <v>0</v>
      </c>
      <c r="N54" s="313">
        <v>0</v>
      </c>
      <c r="O54" s="313">
        <v>0</v>
      </c>
      <c r="P54" s="313">
        <v>0</v>
      </c>
      <c r="Q54" s="313">
        <v>0</v>
      </c>
      <c r="R54" s="313">
        <v>0</v>
      </c>
      <c r="S54" s="313">
        <v>0</v>
      </c>
      <c r="W54" s="313">
        <v>0</v>
      </c>
      <c r="AA54" s="313">
        <v>0</v>
      </c>
      <c r="AB54" s="313">
        <v>0</v>
      </c>
      <c r="AC54" s="313">
        <v>0</v>
      </c>
      <c r="AD54" s="313">
        <v>0</v>
      </c>
      <c r="AE54" s="313">
        <v>0</v>
      </c>
      <c r="AG54" s="313">
        <v>0</v>
      </c>
      <c r="AK54" s="313">
        <v>0</v>
      </c>
      <c r="AO54" s="313">
        <v>0</v>
      </c>
      <c r="AP54" s="313">
        <v>0</v>
      </c>
      <c r="AQ54" s="313">
        <v>0</v>
      </c>
      <c r="AR54" s="313">
        <v>0</v>
      </c>
      <c r="AS54" s="313">
        <v>0</v>
      </c>
      <c r="AT54" s="313">
        <v>0</v>
      </c>
      <c r="AX54" s="313">
        <v>0</v>
      </c>
      <c r="BB54" s="313">
        <v>0</v>
      </c>
      <c r="BC54" s="313">
        <v>0</v>
      </c>
      <c r="BD54" s="313">
        <v>0</v>
      </c>
      <c r="BE54" s="313">
        <v>0</v>
      </c>
      <c r="BF54" s="313">
        <v>0</v>
      </c>
      <c r="BH54" s="313">
        <v>0</v>
      </c>
      <c r="BL54" s="313">
        <v>0</v>
      </c>
    </row>
    <row r="55" spans="1:66">
      <c r="A55" s="333" t="s">
        <v>44</v>
      </c>
      <c r="B55" s="333">
        <v>4287.830586</v>
      </c>
      <c r="C55" s="333">
        <v>5420.9660530000001</v>
      </c>
      <c r="D55" s="333">
        <v>1912.3246170000002</v>
      </c>
      <c r="E55" s="333">
        <v>5122.9523749999998</v>
      </c>
      <c r="F55" s="333">
        <v>12577.080245000001</v>
      </c>
      <c r="G55" s="333">
        <v>4601.3597319999999</v>
      </c>
      <c r="H55" s="333"/>
      <c r="I55" s="333"/>
      <c r="J55" s="333">
        <v>5436.3314479999999</v>
      </c>
      <c r="K55" s="333"/>
      <c r="L55" s="333"/>
      <c r="M55" s="333"/>
      <c r="N55" s="333">
        <v>4740.2043090000006</v>
      </c>
      <c r="O55" s="333">
        <v>5545.7939399999996</v>
      </c>
      <c r="P55" s="333">
        <v>6545.2202049999996</v>
      </c>
      <c r="Q55" s="333">
        <v>8631.5413470000003</v>
      </c>
      <c r="R55" s="333">
        <v>8830.3355480000009</v>
      </c>
      <c r="S55" s="333">
        <v>7001.0149000000001</v>
      </c>
      <c r="T55" s="333"/>
      <c r="U55" s="333"/>
      <c r="V55" s="333"/>
      <c r="W55" s="333">
        <v>-2827.3589280000001</v>
      </c>
      <c r="X55" s="333"/>
      <c r="Y55" s="333"/>
      <c r="Z55" s="333"/>
      <c r="AA55" s="333">
        <v>7506.3078999999998</v>
      </c>
      <c r="AB55" s="333">
        <v>13459.090040000001</v>
      </c>
      <c r="AC55" s="333">
        <v>17934.008909</v>
      </c>
      <c r="AD55" s="333">
        <v>24443.818776</v>
      </c>
      <c r="AE55" s="333">
        <v>15272.244438999998</v>
      </c>
      <c r="AF55" s="333"/>
      <c r="AG55" s="333">
        <v>17481.524990999998</v>
      </c>
      <c r="AH55" s="333"/>
      <c r="AI55" s="333"/>
      <c r="AJ55" s="333"/>
      <c r="AK55" s="333">
        <v>10251.488111000001</v>
      </c>
      <c r="AL55" s="333"/>
      <c r="AM55" s="333"/>
      <c r="AN55" s="333"/>
      <c r="AO55" s="333">
        <v>22797.798119999999</v>
      </c>
      <c r="AP55" s="333">
        <v>33385.385844999997</v>
      </c>
      <c r="AQ55" s="333">
        <v>43937.244613000003</v>
      </c>
      <c r="AR55" s="333">
        <v>53046.484714999999</v>
      </c>
      <c r="AS55" s="333">
        <v>50361.446203</v>
      </c>
      <c r="AT55" s="333">
        <v>31306.938817000002</v>
      </c>
      <c r="AU55" s="333"/>
      <c r="AV55" s="333"/>
      <c r="AW55" s="333"/>
      <c r="AX55" s="333">
        <v>21914.846792</v>
      </c>
      <c r="AY55" s="333"/>
      <c r="AZ55" s="333"/>
      <c r="BA55" s="333"/>
      <c r="BB55" s="333">
        <v>7068.6419859999996</v>
      </c>
      <c r="BC55" s="333">
        <v>11136.364476000001</v>
      </c>
      <c r="BD55" s="333">
        <v>-30728.670904000002</v>
      </c>
      <c r="BE55" s="333">
        <v>12216.856711</v>
      </c>
      <c r="BF55" s="333">
        <v>14129.186234999999</v>
      </c>
      <c r="BG55" s="333"/>
      <c r="BH55" s="333">
        <v>24436.463030000003</v>
      </c>
      <c r="BI55" s="333"/>
      <c r="BJ55" s="333"/>
      <c r="BK55" s="333"/>
      <c r="BL55" s="333">
        <v>3820.0838210000002</v>
      </c>
      <c r="BM55" s="333"/>
      <c r="BN55" s="333"/>
    </row>
    <row r="56" spans="1:66">
      <c r="A56" s="313" t="s">
        <v>470</v>
      </c>
      <c r="B56" s="313">
        <v>0</v>
      </c>
      <c r="C56" s="313">
        <v>0</v>
      </c>
      <c r="D56" s="313">
        <v>1912.3246170000002</v>
      </c>
      <c r="E56" s="313">
        <v>5122.9523749999998</v>
      </c>
      <c r="F56" s="313">
        <v>12577.080245000001</v>
      </c>
      <c r="G56" s="313">
        <v>4601.3597319999999</v>
      </c>
      <c r="J56" s="313">
        <v>5436.3314479999999</v>
      </c>
      <c r="N56" s="313">
        <v>0</v>
      </c>
      <c r="O56" s="313">
        <v>0</v>
      </c>
      <c r="P56" s="313">
        <v>6545.2202049999996</v>
      </c>
      <c r="Q56" s="313">
        <v>8631.5413470000003</v>
      </c>
      <c r="R56" s="313">
        <v>8830.3355480000009</v>
      </c>
      <c r="S56" s="313">
        <v>7001.0149000000001</v>
      </c>
      <c r="W56" s="313">
        <v>-2827.3589280000001</v>
      </c>
      <c r="AA56" s="313">
        <v>0</v>
      </c>
      <c r="AB56" s="313">
        <v>0</v>
      </c>
      <c r="AC56" s="313">
        <v>17934.008909</v>
      </c>
      <c r="AD56" s="313">
        <v>24443.818776</v>
      </c>
      <c r="AE56" s="313">
        <v>15272.244438999998</v>
      </c>
      <c r="AG56" s="313">
        <v>17481.524990999998</v>
      </c>
      <c r="AK56" s="313">
        <v>10251.488111000001</v>
      </c>
      <c r="AO56" s="313">
        <v>0</v>
      </c>
      <c r="AP56" s="313">
        <v>0</v>
      </c>
      <c r="AQ56" s="313">
        <v>43937.244613000003</v>
      </c>
      <c r="AR56" s="313">
        <v>52920.296882999995</v>
      </c>
      <c r="AS56" s="313">
        <v>50361.446203</v>
      </c>
      <c r="AT56" s="313">
        <v>31306.938817000002</v>
      </c>
      <c r="AX56" s="313">
        <v>21914.846792</v>
      </c>
      <c r="BB56" s="313">
        <v>0</v>
      </c>
      <c r="BC56" s="313">
        <v>0</v>
      </c>
      <c r="BD56" s="313">
        <v>-30728.670904000002</v>
      </c>
      <c r="BE56" s="313">
        <v>12216.856711</v>
      </c>
      <c r="BF56" s="313">
        <v>14129.186234999999</v>
      </c>
      <c r="BH56" s="313">
        <v>24436.463030000003</v>
      </c>
      <c r="BL56" s="313">
        <v>3820.0838210000002</v>
      </c>
    </row>
    <row r="57" spans="1:66">
      <c r="A57" s="313" t="s">
        <v>471</v>
      </c>
      <c r="B57" s="313">
        <v>0</v>
      </c>
      <c r="C57" s="313">
        <v>0</v>
      </c>
      <c r="D57" s="313">
        <v>0</v>
      </c>
      <c r="E57" s="313">
        <v>0</v>
      </c>
      <c r="F57" s="313">
        <v>0</v>
      </c>
      <c r="G57" s="313">
        <v>0</v>
      </c>
      <c r="J57" s="313">
        <v>0</v>
      </c>
      <c r="N57" s="313">
        <v>0</v>
      </c>
      <c r="O57" s="313">
        <v>0</v>
      </c>
      <c r="P57" s="313">
        <v>0</v>
      </c>
      <c r="Q57" s="313">
        <v>0</v>
      </c>
      <c r="R57" s="313">
        <v>0</v>
      </c>
      <c r="S57" s="313">
        <v>0</v>
      </c>
      <c r="W57" s="313">
        <v>0</v>
      </c>
      <c r="AA57" s="313">
        <v>0</v>
      </c>
      <c r="AB57" s="313">
        <v>0</v>
      </c>
      <c r="AC57" s="313">
        <v>0</v>
      </c>
      <c r="AD57" s="313">
        <v>0</v>
      </c>
      <c r="AE57" s="313">
        <v>0</v>
      </c>
      <c r="AG57" s="313">
        <v>0</v>
      </c>
      <c r="AK57" s="313">
        <v>0</v>
      </c>
      <c r="AO57" s="313">
        <v>0</v>
      </c>
      <c r="AP57" s="313">
        <v>0</v>
      </c>
      <c r="AQ57" s="313">
        <v>0</v>
      </c>
      <c r="AR57" s="313">
        <v>126.187832</v>
      </c>
      <c r="AS57" s="313">
        <v>0</v>
      </c>
      <c r="AT57" s="313">
        <v>0</v>
      </c>
      <c r="AX57" s="313">
        <v>0</v>
      </c>
      <c r="BB57" s="313">
        <v>0</v>
      </c>
      <c r="BC57" s="313">
        <v>0</v>
      </c>
      <c r="BD57" s="313">
        <v>0</v>
      </c>
      <c r="BE57" s="313">
        <v>0</v>
      </c>
      <c r="BF57" s="313">
        <v>0</v>
      </c>
      <c r="BH57" s="313">
        <v>0</v>
      </c>
      <c r="BL57" s="313">
        <v>0</v>
      </c>
    </row>
    <row r="58" spans="1:66">
      <c r="A58" s="313" t="s">
        <v>472</v>
      </c>
      <c r="B58" s="313">
        <v>-157.01858799999999</v>
      </c>
      <c r="C58" s="313">
        <v>-271.77766400000002</v>
      </c>
      <c r="D58" s="313">
        <v>74.885285999999994</v>
      </c>
      <c r="E58" s="313">
        <v>236.87817699999999</v>
      </c>
      <c r="F58" s="313">
        <v>692.46586500000001</v>
      </c>
      <c r="G58" s="313">
        <v>573.24037399999997</v>
      </c>
      <c r="J58" s="313">
        <v>368.64102599999995</v>
      </c>
      <c r="N58" s="313">
        <v>0</v>
      </c>
      <c r="O58" s="313">
        <v>0</v>
      </c>
      <c r="P58" s="313">
        <v>0</v>
      </c>
      <c r="Q58" s="313">
        <v>99.975162999999995</v>
      </c>
      <c r="R58" s="313">
        <v>-271.71225899999996</v>
      </c>
      <c r="S58" s="313">
        <v>-67.580539000000002</v>
      </c>
      <c r="W58" s="313">
        <v>-165.22938500000001</v>
      </c>
      <c r="AA58" s="313">
        <v>1201.2963890000001</v>
      </c>
      <c r="AB58" s="313">
        <v>1968.7192289999998</v>
      </c>
      <c r="AC58" s="313">
        <v>2340.7148010000001</v>
      </c>
      <c r="AD58" s="313">
        <v>2889.5492789999998</v>
      </c>
      <c r="AE58" s="313">
        <v>3600.5176240000001</v>
      </c>
      <c r="AG58" s="313">
        <v>4271.2499630000002</v>
      </c>
      <c r="AK58" s="313">
        <v>2788.4032350000002</v>
      </c>
      <c r="AO58" s="313">
        <v>-53.755184999999997</v>
      </c>
      <c r="AP58" s="313">
        <v>595.27205700000002</v>
      </c>
      <c r="AQ58" s="313">
        <v>858.35932700000001</v>
      </c>
      <c r="AR58" s="313">
        <v>1220.5732410000001</v>
      </c>
      <c r="AS58" s="313">
        <v>15.334045000000001</v>
      </c>
      <c r="AT58" s="313">
        <v>1121.366896</v>
      </c>
      <c r="AX58" s="313">
        <v>803.28998000000001</v>
      </c>
      <c r="BB58" s="313">
        <v>0</v>
      </c>
      <c r="BC58" s="313">
        <v>0</v>
      </c>
      <c r="BD58" s="313">
        <v>0</v>
      </c>
      <c r="BE58" s="313">
        <v>0</v>
      </c>
      <c r="BF58" s="313">
        <v>0</v>
      </c>
      <c r="BH58" s="313">
        <v>0</v>
      </c>
      <c r="BL58" s="313">
        <v>0</v>
      </c>
    </row>
    <row r="59" spans="1:66">
      <c r="A59" s="313" t="s">
        <v>473</v>
      </c>
      <c r="B59" s="313">
        <v>4444.8491739999999</v>
      </c>
      <c r="C59" s="313">
        <v>5692.7437170000003</v>
      </c>
      <c r="D59" s="313">
        <v>1837.4393309999998</v>
      </c>
      <c r="E59" s="313">
        <v>4886.0741979999993</v>
      </c>
      <c r="F59" s="313">
        <v>11884.614379999999</v>
      </c>
      <c r="G59" s="313">
        <v>4028.1193579999999</v>
      </c>
      <c r="J59" s="313">
        <v>5067.6904219999997</v>
      </c>
      <c r="N59" s="313">
        <v>4740.2043090000006</v>
      </c>
      <c r="O59" s="313">
        <v>5545.7939399999996</v>
      </c>
      <c r="P59" s="313">
        <v>6545.2202049999996</v>
      </c>
      <c r="Q59" s="313">
        <v>8531.5661840000012</v>
      </c>
      <c r="R59" s="313">
        <v>9102.047806999999</v>
      </c>
      <c r="S59" s="313">
        <v>7068.5954389999997</v>
      </c>
      <c r="W59" s="313">
        <v>-2662.129543</v>
      </c>
      <c r="AA59" s="313">
        <v>6305.0115109999997</v>
      </c>
      <c r="AB59" s="313">
        <v>11490.370811000001</v>
      </c>
      <c r="AC59" s="313">
        <v>15593.294108000002</v>
      </c>
      <c r="AD59" s="313">
        <v>21554.269497000001</v>
      </c>
      <c r="AE59" s="313">
        <v>11671.726815</v>
      </c>
      <c r="AG59" s="313">
        <v>13210.275028</v>
      </c>
      <c r="AK59" s="313">
        <v>7463.0848760000008</v>
      </c>
      <c r="AO59" s="313">
        <v>22851.553305000001</v>
      </c>
      <c r="AP59" s="313">
        <v>32790.113788000002</v>
      </c>
      <c r="AQ59" s="313">
        <v>43078.885286000004</v>
      </c>
      <c r="AR59" s="313">
        <v>51825.911474</v>
      </c>
      <c r="AS59" s="313">
        <v>50346.112157999996</v>
      </c>
      <c r="AT59" s="313">
        <v>30185.571920999999</v>
      </c>
      <c r="AX59" s="313">
        <v>21111.556811999999</v>
      </c>
      <c r="BB59" s="313">
        <v>7068.6419859999996</v>
      </c>
      <c r="BC59" s="313">
        <v>11136.364476000001</v>
      </c>
      <c r="BD59" s="313">
        <v>-30728.670904000002</v>
      </c>
      <c r="BE59" s="313">
        <v>12216.856711</v>
      </c>
      <c r="BF59" s="313">
        <v>14129.186234999999</v>
      </c>
      <c r="BH59" s="313">
        <v>24436.463030000003</v>
      </c>
      <c r="BL59" s="313">
        <v>3820.0838210000002</v>
      </c>
    </row>
    <row r="60" spans="1:66">
      <c r="A60" s="313" t="s">
        <v>840</v>
      </c>
      <c r="B60" s="313">
        <v>4023.1132880000005</v>
      </c>
      <c r="C60" s="313">
        <v>4882.5886499999997</v>
      </c>
      <c r="D60" s="313">
        <v>646.94786999999997</v>
      </c>
      <c r="E60" s="313">
        <v>3255.4407379999998</v>
      </c>
      <c r="F60" s="313">
        <v>8000.5781670000006</v>
      </c>
      <c r="G60" s="313">
        <v>-12230.309127</v>
      </c>
      <c r="J60" s="313">
        <v>2459.2259840000002</v>
      </c>
      <c r="N60" s="313">
        <v>5111.3990899999999</v>
      </c>
      <c r="O60" s="313">
        <v>5824.6750240000001</v>
      </c>
      <c r="P60" s="313">
        <v>5704.2904880000006</v>
      </c>
      <c r="Q60" s="313">
        <v>8125.6833719999995</v>
      </c>
      <c r="R60" s="313">
        <v>8660.4853899999998</v>
      </c>
      <c r="S60" s="313">
        <v>6423.0756449999999</v>
      </c>
      <c r="W60" s="313">
        <v>-3196.8007390000002</v>
      </c>
      <c r="AA60" s="313">
        <v>5272.0003509999997</v>
      </c>
      <c r="AB60" s="313">
        <v>9117.4966899999999</v>
      </c>
      <c r="AC60" s="313">
        <v>13354.507392</v>
      </c>
      <c r="AD60" s="313">
        <v>18899.375705999999</v>
      </c>
      <c r="AE60" s="313">
        <v>9592.4656300000006</v>
      </c>
      <c r="AG60" s="313">
        <v>9959.5615969999999</v>
      </c>
      <c r="AK60" s="313">
        <v>5430.9595159999999</v>
      </c>
      <c r="AO60" s="313">
        <v>22286.424612999999</v>
      </c>
      <c r="AP60" s="313">
        <v>27444.220755999999</v>
      </c>
      <c r="AQ60" s="313">
        <v>36327.347722000006</v>
      </c>
      <c r="AR60" s="313">
        <v>48237.501002999998</v>
      </c>
      <c r="AS60" s="313">
        <v>45938.127508999998</v>
      </c>
      <c r="AT60" s="313">
        <v>22862.224317</v>
      </c>
      <c r="AX60" s="313">
        <v>16888.07416</v>
      </c>
      <c r="BB60" s="313">
        <v>6167.6862570000003</v>
      </c>
      <c r="BC60" s="313">
        <v>10238.742784</v>
      </c>
      <c r="BD60" s="313">
        <v>-32294.479001999996</v>
      </c>
      <c r="BE60" s="313">
        <v>10589.944551000001</v>
      </c>
      <c r="BF60" s="313">
        <v>11927.454689</v>
      </c>
      <c r="BH60" s="313">
        <v>16773.899162999998</v>
      </c>
      <c r="BL60" s="313">
        <v>2177.4033530000002</v>
      </c>
    </row>
    <row r="61" spans="1:66">
      <c r="A61" s="333" t="s">
        <v>474</v>
      </c>
      <c r="B61" s="333"/>
      <c r="C61" s="333"/>
      <c r="D61" s="333"/>
      <c r="E61" s="333"/>
      <c r="F61" s="333"/>
      <c r="G61" s="333"/>
      <c r="H61" s="333"/>
      <c r="I61" s="333"/>
      <c r="J61" s="333"/>
      <c r="K61" s="333"/>
      <c r="L61" s="333"/>
      <c r="M61" s="333"/>
      <c r="N61" s="333"/>
      <c r="O61" s="333"/>
      <c r="P61" s="333"/>
      <c r="Q61" s="333"/>
      <c r="R61" s="333"/>
      <c r="S61" s="333"/>
      <c r="T61" s="333"/>
      <c r="U61" s="333"/>
      <c r="V61" s="333"/>
      <c r="W61" s="333"/>
      <c r="X61" s="333"/>
      <c r="Y61" s="333"/>
      <c r="Z61" s="333"/>
      <c r="AA61" s="333"/>
      <c r="AB61" s="333"/>
      <c r="AC61" s="333"/>
      <c r="AD61" s="333"/>
      <c r="AE61" s="333"/>
      <c r="AF61" s="333"/>
      <c r="AG61" s="333"/>
      <c r="AH61" s="333"/>
      <c r="AI61" s="333"/>
      <c r="AJ61" s="333"/>
      <c r="AK61" s="333"/>
      <c r="AL61" s="333"/>
      <c r="AM61" s="333"/>
      <c r="AN61" s="333"/>
      <c r="AO61" s="333"/>
      <c r="AP61" s="333"/>
      <c r="AQ61" s="333"/>
      <c r="AR61" s="333"/>
      <c r="AS61" s="333"/>
      <c r="AT61" s="333"/>
      <c r="AU61" s="333"/>
      <c r="AV61" s="333"/>
      <c r="AW61" s="333"/>
      <c r="AX61" s="333"/>
      <c r="AY61" s="333"/>
      <c r="AZ61" s="333"/>
      <c r="BA61" s="333"/>
      <c r="BB61" s="333"/>
      <c r="BC61" s="333"/>
      <c r="BD61" s="333"/>
      <c r="BE61" s="333"/>
      <c r="BF61" s="333"/>
      <c r="BG61" s="333"/>
      <c r="BH61" s="333"/>
      <c r="BI61" s="333"/>
      <c r="BJ61" s="333"/>
      <c r="BK61" s="333"/>
      <c r="BL61" s="333"/>
      <c r="BM61" s="333"/>
      <c r="BN61" s="333"/>
    </row>
    <row r="62" spans="1:66">
      <c r="A62" s="313" t="s">
        <v>475</v>
      </c>
      <c r="B62" s="313">
        <v>0.64</v>
      </c>
      <c r="C62" s="313">
        <v>0.72</v>
      </c>
      <c r="D62" s="313">
        <v>0.09</v>
      </c>
      <c r="E62" s="313">
        <v>0.24</v>
      </c>
      <c r="F62" s="313">
        <v>0.49</v>
      </c>
      <c r="G62" s="313">
        <v>0.16</v>
      </c>
      <c r="J62" s="313">
        <v>0.21</v>
      </c>
      <c r="N62" s="313">
        <v>0.94</v>
      </c>
      <c r="O62" s="313">
        <v>1.1000000000000001</v>
      </c>
      <c r="P62" s="313">
        <v>0.78</v>
      </c>
      <c r="Q62" s="313">
        <v>0.8</v>
      </c>
      <c r="R62" s="313">
        <v>0.57999999999999996</v>
      </c>
      <c r="S62" s="313">
        <v>0.45</v>
      </c>
      <c r="W62" s="313">
        <v>-0.15</v>
      </c>
      <c r="AA62" s="313">
        <v>0.2</v>
      </c>
      <c r="AB62" s="313">
        <v>0.34</v>
      </c>
      <c r="AC62" s="313">
        <v>0.42</v>
      </c>
      <c r="AD62" s="313">
        <v>0.54</v>
      </c>
      <c r="AE62" s="313">
        <v>0.18</v>
      </c>
      <c r="AG62" s="313">
        <v>0.21</v>
      </c>
      <c r="AK62" s="313">
        <v>0.11700000000000001</v>
      </c>
      <c r="AO62" s="313">
        <v>0.41</v>
      </c>
      <c r="AP62" s="313">
        <v>0.53</v>
      </c>
      <c r="AQ62" s="313">
        <v>0.41</v>
      </c>
      <c r="AR62" s="313">
        <v>0.5</v>
      </c>
      <c r="AS62" s="313">
        <v>0.48</v>
      </c>
      <c r="AT62" s="313">
        <v>0.28999999999999998</v>
      </c>
      <c r="AX62" s="313">
        <v>0.19</v>
      </c>
      <c r="BB62" s="313">
        <v>0.61350000000000005</v>
      </c>
      <c r="BC62" s="313">
        <v>0.87919999999999998</v>
      </c>
      <c r="BD62" s="313">
        <v>-1.1102000000000001</v>
      </c>
      <c r="BE62" s="313">
        <v>0.44</v>
      </c>
      <c r="BF62" s="313">
        <v>0.53</v>
      </c>
      <c r="BH62" s="313">
        <v>0.88</v>
      </c>
      <c r="BL62" s="313">
        <v>8.4099999999999994E-2</v>
      </c>
    </row>
    <row r="63" spans="1:66">
      <c r="A63" s="313" t="s">
        <v>476</v>
      </c>
      <c r="B63" s="313">
        <v>0.64</v>
      </c>
      <c r="C63" s="313">
        <v>0.72</v>
      </c>
      <c r="D63" s="313">
        <v>0.09</v>
      </c>
      <c r="E63" s="313">
        <v>0.24</v>
      </c>
      <c r="F63" s="313">
        <v>0.49</v>
      </c>
      <c r="G63" s="313">
        <v>0.16</v>
      </c>
      <c r="J63" s="313">
        <v>0.21</v>
      </c>
      <c r="N63" s="313">
        <v>0.94</v>
      </c>
      <c r="O63" s="313">
        <v>1.1000000000000001</v>
      </c>
      <c r="P63" s="313">
        <v>0.78</v>
      </c>
      <c r="Q63" s="313">
        <v>0.8</v>
      </c>
      <c r="R63" s="313">
        <v>0.57999999999999996</v>
      </c>
      <c r="S63" s="313">
        <v>0.45</v>
      </c>
      <c r="W63" s="313">
        <v>-0.11</v>
      </c>
      <c r="AA63" s="313">
        <v>0.2</v>
      </c>
      <c r="AB63" s="313">
        <v>0.34</v>
      </c>
      <c r="AC63" s="313">
        <v>0.42</v>
      </c>
      <c r="AD63" s="313">
        <v>0.54</v>
      </c>
      <c r="AE63" s="313">
        <v>0.18</v>
      </c>
      <c r="AG63" s="313">
        <v>0.21</v>
      </c>
      <c r="AK63" s="313">
        <v>0.11700000000000001</v>
      </c>
      <c r="AO63" s="313">
        <v>0.4</v>
      </c>
      <c r="AP63" s="313">
        <v>0.53</v>
      </c>
      <c r="AQ63" s="313">
        <v>0.41</v>
      </c>
      <c r="AR63" s="313">
        <v>0.5</v>
      </c>
      <c r="AS63" s="313">
        <v>0.48</v>
      </c>
      <c r="AT63" s="313">
        <v>0.28999999999999998</v>
      </c>
      <c r="AX63" s="313">
        <v>0.19</v>
      </c>
      <c r="BB63" s="313">
        <v>0.60809999999999997</v>
      </c>
      <c r="BC63" s="313">
        <v>0.87619999999999998</v>
      </c>
      <c r="BD63" s="313">
        <v>-1.1102000000000001</v>
      </c>
      <c r="BE63" s="313">
        <v>0.44</v>
      </c>
      <c r="BF63" s="313">
        <v>0.52</v>
      </c>
      <c r="BH63" s="313">
        <v>0.86</v>
      </c>
      <c r="BL63" s="313">
        <v>8.2299999999999998E-2</v>
      </c>
    </row>
    <row r="64" spans="1:66">
      <c r="A64" s="333" t="s">
        <v>477</v>
      </c>
      <c r="B64" s="333">
        <v>10.683966999999999</v>
      </c>
      <c r="C64" s="333">
        <v>20.737760999999999</v>
      </c>
      <c r="D64" s="333">
        <v>-16.546870000000002</v>
      </c>
      <c r="E64" s="333">
        <v>24.310303000000001</v>
      </c>
      <c r="F64" s="333">
        <v>1566.0022210000002</v>
      </c>
      <c r="G64" s="333">
        <v>2526.1996589999999</v>
      </c>
      <c r="H64" s="333"/>
      <c r="I64" s="333"/>
      <c r="J64" s="333">
        <v>-47.848735999999995</v>
      </c>
      <c r="K64" s="333"/>
      <c r="L64" s="333"/>
      <c r="M64" s="333"/>
      <c r="N64" s="333">
        <v>0.99947199999999992</v>
      </c>
      <c r="O64" s="333">
        <v>4.8546639999999996</v>
      </c>
      <c r="P64" s="333">
        <v>-4.493957</v>
      </c>
      <c r="Q64" s="333">
        <v>1.9314659999999999</v>
      </c>
      <c r="R64" s="333">
        <v>0.44922600000000001</v>
      </c>
      <c r="S64" s="333">
        <v>-2.1956530000000001</v>
      </c>
      <c r="T64" s="333"/>
      <c r="U64" s="333"/>
      <c r="V64" s="333"/>
      <c r="W64" s="333">
        <v>-0.30417</v>
      </c>
      <c r="X64" s="333"/>
      <c r="Y64" s="333"/>
      <c r="Z64" s="333"/>
      <c r="AA64" s="333">
        <v>0</v>
      </c>
      <c r="AB64" s="333">
        <v>0</v>
      </c>
      <c r="AC64" s="333">
        <v>0</v>
      </c>
      <c r="AD64" s="333">
        <v>0</v>
      </c>
      <c r="AE64" s="333">
        <v>1234.2106679999999</v>
      </c>
      <c r="AF64" s="333"/>
      <c r="AG64" s="333">
        <v>401.70600000000002</v>
      </c>
      <c r="AH64" s="333"/>
      <c r="AI64" s="333"/>
      <c r="AJ64" s="333"/>
      <c r="AK64" s="333">
        <v>0</v>
      </c>
      <c r="AL64" s="333"/>
      <c r="AM64" s="333"/>
      <c r="AN64" s="333"/>
      <c r="AO64" s="333">
        <v>-4.9356980000000004</v>
      </c>
      <c r="AP64" s="333">
        <v>-365.13405499999999</v>
      </c>
      <c r="AQ64" s="333">
        <v>142.39767800000001</v>
      </c>
      <c r="AR64" s="333">
        <v>-35.755482999999998</v>
      </c>
      <c r="AS64" s="333">
        <v>193.161821</v>
      </c>
      <c r="AT64" s="333">
        <v>-124.09523999999999</v>
      </c>
      <c r="AU64" s="333"/>
      <c r="AV64" s="333"/>
      <c r="AW64" s="333"/>
      <c r="AX64" s="333">
        <v>-83.908069999999995</v>
      </c>
      <c r="AY64" s="333"/>
      <c r="AZ64" s="333"/>
      <c r="BA64" s="333"/>
      <c r="BB64" s="333">
        <v>0.23012800000000003</v>
      </c>
      <c r="BC64" s="333">
        <v>0</v>
      </c>
      <c r="BD64" s="333">
        <v>0</v>
      </c>
      <c r="BE64" s="333">
        <v>0</v>
      </c>
      <c r="BF64" s="333">
        <v>0</v>
      </c>
      <c r="BG64" s="333"/>
      <c r="BH64" s="333">
        <v>-405.77647200000001</v>
      </c>
      <c r="BI64" s="333"/>
      <c r="BJ64" s="333"/>
      <c r="BK64" s="333"/>
      <c r="BL64" s="333">
        <v>0</v>
      </c>
      <c r="BM64" s="333"/>
      <c r="BN64" s="333"/>
    </row>
    <row r="65" spans="1:64">
      <c r="A65" s="313" t="s">
        <v>478</v>
      </c>
      <c r="B65" s="313">
        <v>10.683966999999999</v>
      </c>
      <c r="C65" s="313">
        <v>20.737760999999999</v>
      </c>
      <c r="D65" s="313">
        <v>-16.546870000000002</v>
      </c>
      <c r="E65" s="313">
        <v>24.310303000000001</v>
      </c>
      <c r="F65" s="313">
        <v>1566.0022210000002</v>
      </c>
      <c r="G65" s="313">
        <v>2526.1996589999999</v>
      </c>
      <c r="J65" s="313">
        <v>-47.848735999999995</v>
      </c>
      <c r="N65" s="313">
        <v>0.99947199999999992</v>
      </c>
      <c r="O65" s="313">
        <v>4.8546639999999996</v>
      </c>
      <c r="P65" s="313">
        <v>-4.493957</v>
      </c>
      <c r="Q65" s="313">
        <v>1.9314659999999999</v>
      </c>
      <c r="R65" s="313">
        <v>0.44922600000000001</v>
      </c>
      <c r="S65" s="313">
        <v>-2.1956530000000001</v>
      </c>
      <c r="W65" s="313">
        <v>-0.30417</v>
      </c>
      <c r="AA65" s="313">
        <v>0</v>
      </c>
      <c r="AB65" s="313">
        <v>0</v>
      </c>
      <c r="AC65" s="313">
        <v>0</v>
      </c>
      <c r="AD65" s="313">
        <v>0</v>
      </c>
      <c r="AE65" s="313">
        <v>1234.2106679999999</v>
      </c>
      <c r="AG65" s="313">
        <v>401.70600000000002</v>
      </c>
      <c r="AK65" s="313">
        <v>0</v>
      </c>
      <c r="AO65" s="313">
        <v>-4.9356980000000004</v>
      </c>
      <c r="AP65" s="313">
        <v>-365.13405499999999</v>
      </c>
      <c r="AQ65" s="313">
        <v>142.39767800000001</v>
      </c>
      <c r="AR65" s="313">
        <v>-35.755482999999998</v>
      </c>
      <c r="AS65" s="313">
        <v>193.161821</v>
      </c>
      <c r="AT65" s="313">
        <v>-124.09523999999999</v>
      </c>
      <c r="AX65" s="313">
        <v>-83.908069999999995</v>
      </c>
      <c r="BB65" s="313">
        <v>0.23012800000000003</v>
      </c>
      <c r="BC65" s="313">
        <v>0</v>
      </c>
      <c r="BD65" s="313">
        <v>0</v>
      </c>
      <c r="BE65" s="313">
        <v>0</v>
      </c>
      <c r="BF65" s="313">
        <v>0</v>
      </c>
      <c r="BH65" s="313">
        <v>-405.77647200000001</v>
      </c>
      <c r="BL65" s="313">
        <v>0</v>
      </c>
    </row>
    <row r="66" spans="1:64">
      <c r="A66" s="313" t="s">
        <v>479</v>
      </c>
      <c r="B66" s="313">
        <v>0</v>
      </c>
      <c r="C66" s="313">
        <v>0</v>
      </c>
      <c r="D66" s="313">
        <v>0</v>
      </c>
      <c r="E66" s="313">
        <v>0</v>
      </c>
      <c r="F66" s="313">
        <v>1552.289372</v>
      </c>
      <c r="G66" s="313">
        <v>2542.0663079999999</v>
      </c>
      <c r="J66" s="313">
        <v>0</v>
      </c>
      <c r="N66" s="313">
        <v>0</v>
      </c>
      <c r="O66" s="313">
        <v>0</v>
      </c>
      <c r="P66" s="313">
        <v>0</v>
      </c>
      <c r="Q66" s="313">
        <v>0</v>
      </c>
      <c r="R66" s="313">
        <v>0</v>
      </c>
      <c r="S66" s="313">
        <v>0</v>
      </c>
      <c r="W66" s="313">
        <v>0</v>
      </c>
      <c r="AA66" s="313">
        <v>0</v>
      </c>
      <c r="AB66" s="313">
        <v>0</v>
      </c>
      <c r="AC66" s="313">
        <v>0</v>
      </c>
      <c r="AD66" s="313">
        <v>0</v>
      </c>
      <c r="AE66" s="313">
        <v>1234.2106679999999</v>
      </c>
      <c r="AG66" s="313">
        <v>401.70600000000002</v>
      </c>
      <c r="AK66" s="313">
        <v>0</v>
      </c>
      <c r="AO66" s="313">
        <v>0</v>
      </c>
      <c r="AP66" s="313">
        <v>0</v>
      </c>
      <c r="AQ66" s="313">
        <v>0</v>
      </c>
      <c r="AR66" s="313">
        <v>0</v>
      </c>
      <c r="AS66" s="313">
        <v>0</v>
      </c>
      <c r="AT66" s="313">
        <v>0</v>
      </c>
      <c r="AX66" s="313">
        <v>0</v>
      </c>
      <c r="BB66" s="313">
        <v>0</v>
      </c>
      <c r="BC66" s="313">
        <v>0</v>
      </c>
      <c r="BD66" s="313">
        <v>0</v>
      </c>
      <c r="BE66" s="313">
        <v>0</v>
      </c>
      <c r="BF66" s="313">
        <v>0</v>
      </c>
      <c r="BH66" s="313">
        <v>-405.77647200000001</v>
      </c>
      <c r="BL66" s="313">
        <v>0</v>
      </c>
    </row>
    <row r="67" spans="1:64">
      <c r="A67" s="313" t="s">
        <v>480</v>
      </c>
      <c r="B67" s="313">
        <v>0</v>
      </c>
      <c r="C67" s="313">
        <v>0</v>
      </c>
      <c r="D67" s="313">
        <v>0</v>
      </c>
      <c r="E67" s="313">
        <v>0</v>
      </c>
      <c r="F67" s="313">
        <v>0</v>
      </c>
      <c r="G67" s="313">
        <v>0</v>
      </c>
      <c r="J67" s="313">
        <v>0</v>
      </c>
      <c r="N67" s="313">
        <v>0</v>
      </c>
      <c r="O67" s="313">
        <v>0</v>
      </c>
      <c r="P67" s="313">
        <v>0</v>
      </c>
      <c r="Q67" s="313">
        <v>0</v>
      </c>
      <c r="R67" s="313">
        <v>0</v>
      </c>
      <c r="S67" s="313">
        <v>0</v>
      </c>
      <c r="W67" s="313">
        <v>0</v>
      </c>
      <c r="AA67" s="313">
        <v>0</v>
      </c>
      <c r="AB67" s="313">
        <v>0</v>
      </c>
      <c r="AC67" s="313">
        <v>0</v>
      </c>
      <c r="AD67" s="313">
        <v>0</v>
      </c>
      <c r="AE67" s="313">
        <v>0</v>
      </c>
      <c r="AG67" s="313">
        <v>0</v>
      </c>
      <c r="AK67" s="313">
        <v>0</v>
      </c>
      <c r="AO67" s="313">
        <v>0</v>
      </c>
      <c r="AP67" s="313">
        <v>0</v>
      </c>
      <c r="AQ67" s="313">
        <v>0</v>
      </c>
      <c r="AR67" s="313">
        <v>0</v>
      </c>
      <c r="AS67" s="313">
        <v>0</v>
      </c>
      <c r="AT67" s="313">
        <v>0</v>
      </c>
      <c r="AX67" s="313">
        <v>0</v>
      </c>
      <c r="BB67" s="313">
        <v>0</v>
      </c>
      <c r="BC67" s="313">
        <v>0</v>
      </c>
      <c r="BD67" s="313">
        <v>0</v>
      </c>
      <c r="BE67" s="313">
        <v>0</v>
      </c>
      <c r="BF67" s="313">
        <v>0</v>
      </c>
      <c r="BH67" s="313">
        <v>0</v>
      </c>
      <c r="BL67" s="313">
        <v>0</v>
      </c>
    </row>
    <row r="68" spans="1:64">
      <c r="A68" s="313" t="s">
        <v>481</v>
      </c>
      <c r="B68" s="313">
        <v>0</v>
      </c>
      <c r="C68" s="313">
        <v>0</v>
      </c>
      <c r="D68" s="313">
        <v>0</v>
      </c>
      <c r="E68" s="313">
        <v>0</v>
      </c>
      <c r="F68" s="313">
        <v>0</v>
      </c>
      <c r="G68" s="313">
        <v>0</v>
      </c>
      <c r="J68" s="313">
        <v>0</v>
      </c>
      <c r="N68" s="313">
        <v>0</v>
      </c>
      <c r="O68" s="313">
        <v>0</v>
      </c>
      <c r="P68" s="313">
        <v>0</v>
      </c>
      <c r="Q68" s="313">
        <v>0</v>
      </c>
      <c r="R68" s="313">
        <v>0</v>
      </c>
      <c r="S68" s="313">
        <v>0</v>
      </c>
      <c r="W68" s="313">
        <v>0</v>
      </c>
      <c r="AA68" s="313">
        <v>0</v>
      </c>
      <c r="AB68" s="313">
        <v>0</v>
      </c>
      <c r="AC68" s="313">
        <v>0</v>
      </c>
      <c r="AD68" s="313">
        <v>0</v>
      </c>
      <c r="AE68" s="313">
        <v>0</v>
      </c>
      <c r="AG68" s="313">
        <v>0</v>
      </c>
      <c r="AK68" s="313">
        <v>0</v>
      </c>
      <c r="AO68" s="313">
        <v>0</v>
      </c>
      <c r="AP68" s="313">
        <v>0</v>
      </c>
      <c r="AQ68" s="313">
        <v>0</v>
      </c>
      <c r="AR68" s="313">
        <v>0</v>
      </c>
      <c r="AS68" s="313">
        <v>0</v>
      </c>
      <c r="AT68" s="313">
        <v>0</v>
      </c>
      <c r="AX68" s="313">
        <v>0</v>
      </c>
      <c r="BB68" s="313">
        <v>0</v>
      </c>
      <c r="BC68" s="313">
        <v>0</v>
      </c>
      <c r="BD68" s="313">
        <v>0</v>
      </c>
      <c r="BE68" s="313">
        <v>0</v>
      </c>
      <c r="BF68" s="313">
        <v>0</v>
      </c>
      <c r="BH68" s="313">
        <v>0</v>
      </c>
      <c r="BL68" s="313">
        <v>0</v>
      </c>
    </row>
    <row r="69" spans="1:64">
      <c r="A69" s="313" t="s">
        <v>482</v>
      </c>
      <c r="B69" s="313">
        <v>0</v>
      </c>
      <c r="C69" s="313">
        <v>0</v>
      </c>
      <c r="D69" s="313">
        <v>0</v>
      </c>
      <c r="E69" s="313">
        <v>0</v>
      </c>
      <c r="F69" s="313">
        <v>0</v>
      </c>
      <c r="G69" s="313">
        <v>0</v>
      </c>
      <c r="J69" s="313">
        <v>0</v>
      </c>
      <c r="N69" s="313">
        <v>0</v>
      </c>
      <c r="O69" s="313">
        <v>0</v>
      </c>
      <c r="P69" s="313">
        <v>0</v>
      </c>
      <c r="Q69" s="313">
        <v>0</v>
      </c>
      <c r="R69" s="313">
        <v>0</v>
      </c>
      <c r="S69" s="313">
        <v>0</v>
      </c>
      <c r="W69" s="313">
        <v>0</v>
      </c>
      <c r="AA69" s="313">
        <v>0</v>
      </c>
      <c r="AB69" s="313">
        <v>0</v>
      </c>
      <c r="AC69" s="313">
        <v>0</v>
      </c>
      <c r="AD69" s="313">
        <v>0</v>
      </c>
      <c r="AE69" s="313">
        <v>0</v>
      </c>
      <c r="AG69" s="313">
        <v>0</v>
      </c>
      <c r="AK69" s="313">
        <v>0</v>
      </c>
      <c r="AO69" s="313">
        <v>0</v>
      </c>
      <c r="AP69" s="313">
        <v>0</v>
      </c>
      <c r="AQ69" s="313">
        <v>0</v>
      </c>
      <c r="AR69" s="313">
        <v>0</v>
      </c>
      <c r="AS69" s="313">
        <v>0</v>
      </c>
      <c r="AT69" s="313">
        <v>0</v>
      </c>
      <c r="AX69" s="313">
        <v>0</v>
      </c>
      <c r="BB69" s="313">
        <v>0</v>
      </c>
      <c r="BC69" s="313">
        <v>0</v>
      </c>
      <c r="BD69" s="313">
        <v>0</v>
      </c>
      <c r="BE69" s="313">
        <v>0</v>
      </c>
      <c r="BF69" s="313">
        <v>0</v>
      </c>
      <c r="BH69" s="313">
        <v>0</v>
      </c>
      <c r="BL69" s="313">
        <v>0</v>
      </c>
    </row>
    <row r="70" spans="1:64">
      <c r="A70" s="313" t="s">
        <v>483</v>
      </c>
      <c r="B70" s="313">
        <v>0</v>
      </c>
      <c r="C70" s="313">
        <v>0</v>
      </c>
      <c r="D70" s="313">
        <v>0</v>
      </c>
      <c r="E70" s="313">
        <v>0</v>
      </c>
      <c r="F70" s="313">
        <v>1552.289372</v>
      </c>
      <c r="G70" s="313">
        <v>2542.0663079999999</v>
      </c>
      <c r="J70" s="313">
        <v>0</v>
      </c>
      <c r="N70" s="313">
        <v>0</v>
      </c>
      <c r="O70" s="313">
        <v>0</v>
      </c>
      <c r="P70" s="313">
        <v>0</v>
      </c>
      <c r="Q70" s="313">
        <v>0</v>
      </c>
      <c r="R70" s="313">
        <v>0</v>
      </c>
      <c r="S70" s="313">
        <v>0</v>
      </c>
      <c r="W70" s="313">
        <v>0</v>
      </c>
      <c r="AA70" s="313">
        <v>0</v>
      </c>
      <c r="AB70" s="313">
        <v>0</v>
      </c>
      <c r="AC70" s="313">
        <v>0</v>
      </c>
      <c r="AD70" s="313">
        <v>0</v>
      </c>
      <c r="AE70" s="313">
        <v>1234.2106679999999</v>
      </c>
      <c r="AG70" s="313">
        <v>401.70600000000002</v>
      </c>
      <c r="AK70" s="313">
        <v>0</v>
      </c>
      <c r="AO70" s="313">
        <v>0</v>
      </c>
      <c r="AP70" s="313">
        <v>0</v>
      </c>
      <c r="AQ70" s="313">
        <v>0</v>
      </c>
      <c r="AR70" s="313">
        <v>0</v>
      </c>
      <c r="AS70" s="313">
        <v>0</v>
      </c>
      <c r="AT70" s="313">
        <v>0</v>
      </c>
      <c r="AX70" s="313">
        <v>0</v>
      </c>
      <c r="BB70" s="313">
        <v>0</v>
      </c>
      <c r="BC70" s="313">
        <v>0</v>
      </c>
      <c r="BD70" s="313">
        <v>0</v>
      </c>
      <c r="BE70" s="313">
        <v>0</v>
      </c>
      <c r="BF70" s="313">
        <v>0</v>
      </c>
      <c r="BH70" s="313">
        <v>-405.77647200000001</v>
      </c>
      <c r="BL70" s="313">
        <v>0</v>
      </c>
    </row>
    <row r="71" spans="1:64">
      <c r="A71" s="313" t="s">
        <v>484</v>
      </c>
      <c r="B71" s="313">
        <v>0</v>
      </c>
      <c r="C71" s="313">
        <v>0</v>
      </c>
      <c r="D71" s="313">
        <v>0</v>
      </c>
      <c r="E71" s="313">
        <v>0</v>
      </c>
      <c r="F71" s="313">
        <v>0</v>
      </c>
      <c r="G71" s="313">
        <v>0</v>
      </c>
      <c r="J71" s="313">
        <v>0</v>
      </c>
      <c r="N71" s="313">
        <v>0</v>
      </c>
      <c r="O71" s="313">
        <v>0</v>
      </c>
      <c r="P71" s="313">
        <v>0</v>
      </c>
      <c r="Q71" s="313">
        <v>0</v>
      </c>
      <c r="R71" s="313">
        <v>0</v>
      </c>
      <c r="S71" s="313">
        <v>0</v>
      </c>
      <c r="W71" s="313">
        <v>0</v>
      </c>
      <c r="AA71" s="313">
        <v>0</v>
      </c>
      <c r="AB71" s="313">
        <v>0</v>
      </c>
      <c r="AC71" s="313">
        <v>0</v>
      </c>
      <c r="AD71" s="313">
        <v>0</v>
      </c>
      <c r="AE71" s="313">
        <v>0</v>
      </c>
      <c r="AG71" s="313">
        <v>0</v>
      </c>
      <c r="AK71" s="313">
        <v>0</v>
      </c>
      <c r="AO71" s="313">
        <v>0</v>
      </c>
      <c r="AP71" s="313">
        <v>0</v>
      </c>
      <c r="AQ71" s="313">
        <v>0</v>
      </c>
      <c r="AR71" s="313">
        <v>0</v>
      </c>
      <c r="AS71" s="313">
        <v>0</v>
      </c>
      <c r="AT71" s="313">
        <v>0</v>
      </c>
      <c r="AX71" s="313">
        <v>0</v>
      </c>
      <c r="BB71" s="313">
        <v>0</v>
      </c>
      <c r="BC71" s="313">
        <v>0</v>
      </c>
      <c r="BD71" s="313">
        <v>0</v>
      </c>
      <c r="BE71" s="313">
        <v>0</v>
      </c>
      <c r="BF71" s="313">
        <v>0</v>
      </c>
      <c r="BH71" s="313">
        <v>0</v>
      </c>
      <c r="BL71" s="313">
        <v>0</v>
      </c>
    </row>
    <row r="72" spans="1:64">
      <c r="A72" s="313" t="s">
        <v>485</v>
      </c>
      <c r="B72" s="313">
        <v>10.683966999999999</v>
      </c>
      <c r="C72" s="313">
        <v>20.737760999999999</v>
      </c>
      <c r="D72" s="313">
        <v>-16.546870000000002</v>
      </c>
      <c r="E72" s="313">
        <v>24.310303000000001</v>
      </c>
      <c r="F72" s="313">
        <v>13.712848999999999</v>
      </c>
      <c r="G72" s="313">
        <v>-15.866648999999999</v>
      </c>
      <c r="J72" s="313">
        <v>-47.848735999999995</v>
      </c>
      <c r="N72" s="313">
        <v>0.99947199999999992</v>
      </c>
      <c r="O72" s="313">
        <v>4.8546639999999996</v>
      </c>
      <c r="P72" s="313">
        <v>-4.493957</v>
      </c>
      <c r="Q72" s="313">
        <v>1.9314659999999999</v>
      </c>
      <c r="R72" s="313">
        <v>0.44922600000000001</v>
      </c>
      <c r="S72" s="313">
        <v>-2.1956530000000001</v>
      </c>
      <c r="W72" s="313">
        <v>-0.30417</v>
      </c>
      <c r="AA72" s="313">
        <v>0</v>
      </c>
      <c r="AB72" s="313">
        <v>0</v>
      </c>
      <c r="AC72" s="313">
        <v>0</v>
      </c>
      <c r="AD72" s="313">
        <v>0</v>
      </c>
      <c r="AE72" s="313">
        <v>0</v>
      </c>
      <c r="AG72" s="313">
        <v>0</v>
      </c>
      <c r="AK72" s="313">
        <v>0</v>
      </c>
      <c r="AO72" s="313">
        <v>-4.9356980000000004</v>
      </c>
      <c r="AP72" s="313">
        <v>-365.13405499999999</v>
      </c>
      <c r="AQ72" s="313">
        <v>142.39767800000001</v>
      </c>
      <c r="AR72" s="313">
        <v>-35.755482999999998</v>
      </c>
      <c r="AS72" s="313">
        <v>193.161821</v>
      </c>
      <c r="AT72" s="313">
        <v>-124.09523999999999</v>
      </c>
      <c r="AX72" s="313">
        <v>-83.908069999999995</v>
      </c>
      <c r="BB72" s="313">
        <v>0.23012800000000003</v>
      </c>
      <c r="BC72" s="313">
        <v>0</v>
      </c>
      <c r="BD72" s="313">
        <v>0</v>
      </c>
      <c r="BE72" s="313">
        <v>0</v>
      </c>
      <c r="BF72" s="313">
        <v>0</v>
      </c>
      <c r="BH72" s="313">
        <v>0</v>
      </c>
      <c r="BL72" s="313">
        <v>0</v>
      </c>
    </row>
    <row r="73" spans="1:64">
      <c r="A73" s="313" t="s">
        <v>486</v>
      </c>
      <c r="B73" s="313">
        <v>0</v>
      </c>
      <c r="C73" s="313">
        <v>0</v>
      </c>
      <c r="D73" s="313">
        <v>0</v>
      </c>
      <c r="E73" s="313">
        <v>0</v>
      </c>
      <c r="F73" s="313">
        <v>0</v>
      </c>
      <c r="G73" s="313">
        <v>0</v>
      </c>
      <c r="J73" s="313">
        <v>0</v>
      </c>
      <c r="N73" s="313">
        <v>0</v>
      </c>
      <c r="O73" s="313">
        <v>0</v>
      </c>
      <c r="P73" s="313">
        <v>0</v>
      </c>
      <c r="Q73" s="313">
        <v>0</v>
      </c>
      <c r="R73" s="313">
        <v>0</v>
      </c>
      <c r="S73" s="313">
        <v>0</v>
      </c>
      <c r="W73" s="313">
        <v>0</v>
      </c>
      <c r="AA73" s="313">
        <v>0</v>
      </c>
      <c r="AB73" s="313">
        <v>0</v>
      </c>
      <c r="AC73" s="313">
        <v>0</v>
      </c>
      <c r="AD73" s="313">
        <v>0</v>
      </c>
      <c r="AE73" s="313">
        <v>0</v>
      </c>
      <c r="AG73" s="313">
        <v>0</v>
      </c>
      <c r="AK73" s="313">
        <v>0</v>
      </c>
      <c r="AO73" s="313">
        <v>0</v>
      </c>
      <c r="AP73" s="313">
        <v>0</v>
      </c>
      <c r="AQ73" s="313">
        <v>0</v>
      </c>
      <c r="AR73" s="313">
        <v>0</v>
      </c>
      <c r="AS73" s="313">
        <v>0</v>
      </c>
      <c r="AT73" s="313">
        <v>0</v>
      </c>
      <c r="AX73" s="313">
        <v>0</v>
      </c>
      <c r="BB73" s="313">
        <v>0</v>
      </c>
      <c r="BC73" s="313">
        <v>0</v>
      </c>
      <c r="BD73" s="313">
        <v>0</v>
      </c>
      <c r="BE73" s="313">
        <v>0</v>
      </c>
      <c r="BF73" s="313">
        <v>0</v>
      </c>
      <c r="BH73" s="313">
        <v>0</v>
      </c>
      <c r="BL73" s="313">
        <v>0</v>
      </c>
    </row>
    <row r="74" spans="1:64">
      <c r="A74" s="313" t="s">
        <v>487</v>
      </c>
      <c r="B74" s="313">
        <v>0</v>
      </c>
      <c r="C74" s="313">
        <v>0</v>
      </c>
      <c r="D74" s="313">
        <v>0</v>
      </c>
      <c r="E74" s="313">
        <v>0</v>
      </c>
      <c r="F74" s="313">
        <v>0</v>
      </c>
      <c r="G74" s="313">
        <v>0</v>
      </c>
      <c r="J74" s="313">
        <v>0</v>
      </c>
      <c r="N74" s="313">
        <v>0</v>
      </c>
      <c r="O74" s="313">
        <v>0</v>
      </c>
      <c r="P74" s="313">
        <v>0</v>
      </c>
      <c r="Q74" s="313">
        <v>0</v>
      </c>
      <c r="R74" s="313">
        <v>0</v>
      </c>
      <c r="S74" s="313">
        <v>0</v>
      </c>
      <c r="W74" s="313">
        <v>0</v>
      </c>
      <c r="AA74" s="313">
        <v>0</v>
      </c>
      <c r="AB74" s="313">
        <v>0</v>
      </c>
      <c r="AC74" s="313">
        <v>0</v>
      </c>
      <c r="AD74" s="313">
        <v>0</v>
      </c>
      <c r="AE74" s="313">
        <v>0</v>
      </c>
      <c r="AG74" s="313">
        <v>0</v>
      </c>
      <c r="AK74" s="313">
        <v>0</v>
      </c>
      <c r="AO74" s="313">
        <v>0</v>
      </c>
      <c r="AP74" s="313">
        <v>0</v>
      </c>
      <c r="AQ74" s="313">
        <v>0</v>
      </c>
      <c r="AR74" s="313">
        <v>0</v>
      </c>
      <c r="AS74" s="313">
        <v>0</v>
      </c>
      <c r="AT74" s="313">
        <v>0</v>
      </c>
      <c r="AX74" s="313">
        <v>0</v>
      </c>
      <c r="BB74" s="313">
        <v>0</v>
      </c>
      <c r="BC74" s="313">
        <v>0</v>
      </c>
      <c r="BD74" s="313">
        <v>0</v>
      </c>
      <c r="BE74" s="313">
        <v>0</v>
      </c>
      <c r="BF74" s="313">
        <v>0</v>
      </c>
      <c r="BH74" s="313">
        <v>0</v>
      </c>
      <c r="BL74" s="313">
        <v>0</v>
      </c>
    </row>
    <row r="75" spans="1:64">
      <c r="A75" s="313" t="s">
        <v>488</v>
      </c>
      <c r="B75" s="313">
        <v>0</v>
      </c>
      <c r="C75" s="313">
        <v>0</v>
      </c>
      <c r="D75" s="313">
        <v>0</v>
      </c>
      <c r="E75" s="313">
        <v>0</v>
      </c>
      <c r="F75" s="313">
        <v>0</v>
      </c>
      <c r="G75" s="313">
        <v>0</v>
      </c>
      <c r="J75" s="313">
        <v>0</v>
      </c>
      <c r="N75" s="313">
        <v>0</v>
      </c>
      <c r="O75" s="313">
        <v>0</v>
      </c>
      <c r="P75" s="313">
        <v>0</v>
      </c>
      <c r="Q75" s="313">
        <v>0</v>
      </c>
      <c r="R75" s="313">
        <v>0</v>
      </c>
      <c r="S75" s="313">
        <v>0</v>
      </c>
      <c r="W75" s="313">
        <v>0</v>
      </c>
      <c r="AA75" s="313">
        <v>0</v>
      </c>
      <c r="AB75" s="313">
        <v>0</v>
      </c>
      <c r="AC75" s="313">
        <v>0</v>
      </c>
      <c r="AD75" s="313">
        <v>0</v>
      </c>
      <c r="AE75" s="313">
        <v>0</v>
      </c>
      <c r="AG75" s="313">
        <v>0</v>
      </c>
      <c r="AK75" s="313">
        <v>0</v>
      </c>
      <c r="AO75" s="313">
        <v>0</v>
      </c>
      <c r="AP75" s="313">
        <v>0</v>
      </c>
      <c r="AQ75" s="313">
        <v>0</v>
      </c>
      <c r="AR75" s="313">
        <v>0</v>
      </c>
      <c r="AS75" s="313">
        <v>0</v>
      </c>
      <c r="AT75" s="313">
        <v>0</v>
      </c>
      <c r="AX75" s="313">
        <v>0</v>
      </c>
      <c r="BB75" s="313">
        <v>0</v>
      </c>
      <c r="BC75" s="313">
        <v>0</v>
      </c>
      <c r="BD75" s="313">
        <v>0</v>
      </c>
      <c r="BE75" s="313">
        <v>0</v>
      </c>
      <c r="BF75" s="313">
        <v>0</v>
      </c>
      <c r="BH75" s="313">
        <v>0</v>
      </c>
      <c r="BL75" s="313">
        <v>0</v>
      </c>
    </row>
    <row r="76" spans="1:64">
      <c r="A76" s="313" t="s">
        <v>489</v>
      </c>
      <c r="B76" s="313">
        <v>0</v>
      </c>
      <c r="C76" s="313">
        <v>0</v>
      </c>
      <c r="D76" s="313">
        <v>0</v>
      </c>
      <c r="E76" s="313">
        <v>0</v>
      </c>
      <c r="F76" s="313">
        <v>0</v>
      </c>
      <c r="G76" s="313">
        <v>0</v>
      </c>
      <c r="J76" s="313">
        <v>0</v>
      </c>
      <c r="N76" s="313">
        <v>0</v>
      </c>
      <c r="O76" s="313">
        <v>0</v>
      </c>
      <c r="P76" s="313">
        <v>0</v>
      </c>
      <c r="Q76" s="313">
        <v>0</v>
      </c>
      <c r="R76" s="313">
        <v>0</v>
      </c>
      <c r="S76" s="313">
        <v>0</v>
      </c>
      <c r="W76" s="313">
        <v>0</v>
      </c>
      <c r="AA76" s="313">
        <v>0</v>
      </c>
      <c r="AB76" s="313">
        <v>0</v>
      </c>
      <c r="AC76" s="313">
        <v>0</v>
      </c>
      <c r="AD76" s="313">
        <v>0</v>
      </c>
      <c r="AE76" s="313">
        <v>0</v>
      </c>
      <c r="AG76" s="313">
        <v>0</v>
      </c>
      <c r="AK76" s="313">
        <v>0</v>
      </c>
      <c r="AO76" s="313">
        <v>0</v>
      </c>
      <c r="AP76" s="313">
        <v>0</v>
      </c>
      <c r="AQ76" s="313">
        <v>0</v>
      </c>
      <c r="AR76" s="313">
        <v>0</v>
      </c>
      <c r="AS76" s="313">
        <v>0</v>
      </c>
      <c r="AT76" s="313">
        <v>0</v>
      </c>
      <c r="AX76" s="313">
        <v>0</v>
      </c>
      <c r="BB76" s="313">
        <v>0</v>
      </c>
      <c r="BC76" s="313">
        <v>0</v>
      </c>
      <c r="BD76" s="313">
        <v>0</v>
      </c>
      <c r="BE76" s="313">
        <v>0</v>
      </c>
      <c r="BF76" s="313">
        <v>0</v>
      </c>
      <c r="BH76" s="313">
        <v>0</v>
      </c>
      <c r="BL76" s="313">
        <v>0</v>
      </c>
    </row>
    <row r="77" spans="1:64">
      <c r="A77" s="313" t="s">
        <v>490</v>
      </c>
      <c r="B77" s="313">
        <v>10.683966999999999</v>
      </c>
      <c r="C77" s="313">
        <v>20.737760999999999</v>
      </c>
      <c r="D77" s="313">
        <v>-16.546870000000002</v>
      </c>
      <c r="E77" s="313">
        <v>24.310303000000001</v>
      </c>
      <c r="F77" s="313">
        <v>13.712848999999999</v>
      </c>
      <c r="G77" s="313">
        <v>-15.866648999999999</v>
      </c>
      <c r="J77" s="313">
        <v>-47.848735999999995</v>
      </c>
      <c r="N77" s="313">
        <v>0</v>
      </c>
      <c r="O77" s="313">
        <v>4.8546639999999996</v>
      </c>
      <c r="P77" s="313">
        <v>-4.493957</v>
      </c>
      <c r="Q77" s="313">
        <v>1.9314659999999999</v>
      </c>
      <c r="R77" s="313">
        <v>0.44922600000000001</v>
      </c>
      <c r="S77" s="313">
        <v>-2.1956530000000001</v>
      </c>
      <c r="W77" s="313">
        <v>-0.30417</v>
      </c>
      <c r="AA77" s="313">
        <v>0</v>
      </c>
      <c r="AB77" s="313">
        <v>0</v>
      </c>
      <c r="AC77" s="313">
        <v>0</v>
      </c>
      <c r="AD77" s="313">
        <v>0</v>
      </c>
      <c r="AE77" s="313">
        <v>0</v>
      </c>
      <c r="AG77" s="313">
        <v>0</v>
      </c>
      <c r="AK77" s="313">
        <v>0</v>
      </c>
      <c r="AO77" s="313">
        <v>-4.9356980000000004</v>
      </c>
      <c r="AP77" s="313">
        <v>-365.13405499999999</v>
      </c>
      <c r="AQ77" s="313">
        <v>142.39767800000001</v>
      </c>
      <c r="AR77" s="313">
        <v>-35.755482999999998</v>
      </c>
      <c r="AS77" s="313">
        <v>193.161821</v>
      </c>
      <c r="AT77" s="313">
        <v>-124.09523999999999</v>
      </c>
      <c r="AX77" s="313">
        <v>-83.908069999999995</v>
      </c>
      <c r="BB77" s="313">
        <v>0.23012800000000003</v>
      </c>
      <c r="BC77" s="313">
        <v>0</v>
      </c>
      <c r="BD77" s="313">
        <v>0</v>
      </c>
      <c r="BE77" s="313">
        <v>0</v>
      </c>
      <c r="BF77" s="313">
        <v>0</v>
      </c>
      <c r="BH77" s="313">
        <v>0</v>
      </c>
      <c r="BL77" s="313">
        <v>0</v>
      </c>
    </row>
    <row r="78" spans="1:64">
      <c r="A78" s="313" t="s">
        <v>491</v>
      </c>
      <c r="B78" s="313">
        <v>0</v>
      </c>
      <c r="C78" s="313">
        <v>0</v>
      </c>
      <c r="D78" s="313">
        <v>0</v>
      </c>
      <c r="E78" s="313">
        <v>0</v>
      </c>
      <c r="F78" s="313">
        <v>0</v>
      </c>
      <c r="G78" s="313">
        <v>0</v>
      </c>
      <c r="J78" s="313">
        <v>0</v>
      </c>
      <c r="N78" s="313">
        <v>0</v>
      </c>
      <c r="O78" s="313">
        <v>0</v>
      </c>
      <c r="P78" s="313">
        <v>0</v>
      </c>
      <c r="Q78" s="313">
        <v>0</v>
      </c>
      <c r="R78" s="313">
        <v>0</v>
      </c>
      <c r="S78" s="313">
        <v>0</v>
      </c>
      <c r="W78" s="313">
        <v>0</v>
      </c>
      <c r="AA78" s="313">
        <v>0</v>
      </c>
      <c r="AB78" s="313">
        <v>0</v>
      </c>
      <c r="AC78" s="313">
        <v>0</v>
      </c>
      <c r="AD78" s="313">
        <v>0</v>
      </c>
      <c r="AE78" s="313">
        <v>0</v>
      </c>
      <c r="AG78" s="313">
        <v>0</v>
      </c>
      <c r="AK78" s="313">
        <v>0</v>
      </c>
      <c r="AO78" s="313">
        <v>0</v>
      </c>
      <c r="AP78" s="313">
        <v>0</v>
      </c>
      <c r="AQ78" s="313">
        <v>0</v>
      </c>
      <c r="AR78" s="313">
        <v>0</v>
      </c>
      <c r="AS78" s="313">
        <v>0</v>
      </c>
      <c r="AT78" s="313">
        <v>0</v>
      </c>
      <c r="AX78" s="313">
        <v>0</v>
      </c>
      <c r="BB78" s="313">
        <v>0</v>
      </c>
      <c r="BC78" s="313">
        <v>0</v>
      </c>
      <c r="BD78" s="313">
        <v>0</v>
      </c>
      <c r="BE78" s="313">
        <v>0</v>
      </c>
      <c r="BF78" s="313">
        <v>0</v>
      </c>
      <c r="BH78" s="313">
        <v>0</v>
      </c>
      <c r="BL78" s="313">
        <v>0</v>
      </c>
    </row>
    <row r="79" spans="1:64">
      <c r="A79" s="313" t="s">
        <v>492</v>
      </c>
      <c r="B79" s="313">
        <v>0</v>
      </c>
      <c r="C79" s="313">
        <v>0</v>
      </c>
      <c r="D79" s="313">
        <v>0</v>
      </c>
      <c r="E79" s="313">
        <v>0</v>
      </c>
      <c r="F79" s="313">
        <v>0</v>
      </c>
      <c r="G79" s="313">
        <v>0</v>
      </c>
      <c r="J79" s="313">
        <v>0</v>
      </c>
      <c r="N79" s="313">
        <v>0</v>
      </c>
      <c r="O79" s="313">
        <v>0</v>
      </c>
      <c r="P79" s="313">
        <v>0</v>
      </c>
      <c r="Q79" s="313">
        <v>0</v>
      </c>
      <c r="R79" s="313">
        <v>0</v>
      </c>
      <c r="S79" s="313">
        <v>0</v>
      </c>
      <c r="W79" s="313">
        <v>0</v>
      </c>
      <c r="AA79" s="313">
        <v>0</v>
      </c>
      <c r="AB79" s="313">
        <v>0</v>
      </c>
      <c r="AC79" s="313">
        <v>0</v>
      </c>
      <c r="AD79" s="313">
        <v>0</v>
      </c>
      <c r="AE79" s="313">
        <v>0</v>
      </c>
      <c r="AG79" s="313">
        <v>0</v>
      </c>
      <c r="AK79" s="313">
        <v>0</v>
      </c>
      <c r="AO79" s="313">
        <v>0</v>
      </c>
      <c r="AP79" s="313">
        <v>0</v>
      </c>
      <c r="AQ79" s="313">
        <v>0</v>
      </c>
      <c r="AR79" s="313">
        <v>0</v>
      </c>
      <c r="AS79" s="313">
        <v>0</v>
      </c>
      <c r="AT79" s="313">
        <v>0</v>
      </c>
      <c r="AX79" s="313">
        <v>0</v>
      </c>
      <c r="BB79" s="313">
        <v>0</v>
      </c>
      <c r="BC79" s="313">
        <v>0</v>
      </c>
      <c r="BD79" s="313">
        <v>0</v>
      </c>
      <c r="BE79" s="313">
        <v>0</v>
      </c>
      <c r="BF79" s="313">
        <v>0</v>
      </c>
      <c r="BH79" s="313">
        <v>0</v>
      </c>
      <c r="BL79" s="313">
        <v>0</v>
      </c>
    </row>
    <row r="80" spans="1:64">
      <c r="A80" s="313" t="s">
        <v>493</v>
      </c>
      <c r="B80" s="313">
        <v>0</v>
      </c>
      <c r="C80" s="313">
        <v>0</v>
      </c>
      <c r="D80" s="313">
        <v>0</v>
      </c>
      <c r="E80" s="313">
        <v>0</v>
      </c>
      <c r="F80" s="313">
        <v>0</v>
      </c>
      <c r="G80" s="313">
        <v>0</v>
      </c>
      <c r="J80" s="313">
        <v>0</v>
      </c>
      <c r="N80" s="313">
        <v>0</v>
      </c>
      <c r="O80" s="313">
        <v>0</v>
      </c>
      <c r="P80" s="313">
        <v>0</v>
      </c>
      <c r="Q80" s="313">
        <v>0</v>
      </c>
      <c r="R80" s="313">
        <v>0</v>
      </c>
      <c r="S80" s="313">
        <v>0</v>
      </c>
      <c r="W80" s="313">
        <v>0</v>
      </c>
      <c r="AA80" s="313">
        <v>0</v>
      </c>
      <c r="AB80" s="313">
        <v>0</v>
      </c>
      <c r="AC80" s="313">
        <v>0</v>
      </c>
      <c r="AD80" s="313">
        <v>0</v>
      </c>
      <c r="AE80" s="313">
        <v>0</v>
      </c>
      <c r="AG80" s="313">
        <v>0</v>
      </c>
      <c r="AK80" s="313">
        <v>0</v>
      </c>
      <c r="AO80" s="313">
        <v>0</v>
      </c>
      <c r="AP80" s="313">
        <v>0</v>
      </c>
      <c r="AQ80" s="313">
        <v>0</v>
      </c>
      <c r="AR80" s="313">
        <v>0</v>
      </c>
      <c r="AS80" s="313">
        <v>0</v>
      </c>
      <c r="AT80" s="313">
        <v>0</v>
      </c>
      <c r="AX80" s="313">
        <v>0</v>
      </c>
      <c r="BB80" s="313">
        <v>0</v>
      </c>
      <c r="BC80" s="313">
        <v>0</v>
      </c>
      <c r="BD80" s="313">
        <v>0</v>
      </c>
      <c r="BE80" s="313">
        <v>0</v>
      </c>
      <c r="BF80" s="313">
        <v>0</v>
      </c>
      <c r="BH80" s="313">
        <v>0</v>
      </c>
      <c r="BL80" s="313">
        <v>0</v>
      </c>
    </row>
    <row r="81" spans="1:66">
      <c r="A81" s="313" t="s">
        <v>494</v>
      </c>
      <c r="B81" s="313">
        <v>0</v>
      </c>
      <c r="C81" s="313">
        <v>0</v>
      </c>
      <c r="D81" s="313">
        <v>0</v>
      </c>
      <c r="E81" s="313">
        <v>0</v>
      </c>
      <c r="F81" s="313">
        <v>0</v>
      </c>
      <c r="G81" s="313">
        <v>0</v>
      </c>
      <c r="J81" s="313">
        <v>0</v>
      </c>
      <c r="N81" s="313">
        <v>0</v>
      </c>
      <c r="O81" s="313">
        <v>0</v>
      </c>
      <c r="P81" s="313">
        <v>0</v>
      </c>
      <c r="Q81" s="313">
        <v>0</v>
      </c>
      <c r="R81" s="313">
        <v>0</v>
      </c>
      <c r="S81" s="313">
        <v>0</v>
      </c>
      <c r="W81" s="313">
        <v>0</v>
      </c>
      <c r="AA81" s="313">
        <v>0</v>
      </c>
      <c r="AB81" s="313">
        <v>0</v>
      </c>
      <c r="AC81" s="313">
        <v>0</v>
      </c>
      <c r="AD81" s="313">
        <v>0</v>
      </c>
      <c r="AE81" s="313">
        <v>0</v>
      </c>
      <c r="AG81" s="313">
        <v>0</v>
      </c>
      <c r="AK81" s="313">
        <v>0</v>
      </c>
      <c r="AO81" s="313">
        <v>0</v>
      </c>
      <c r="AP81" s="313">
        <v>0</v>
      </c>
      <c r="AQ81" s="313">
        <v>0</v>
      </c>
      <c r="AR81" s="313">
        <v>0</v>
      </c>
      <c r="AS81" s="313">
        <v>0</v>
      </c>
      <c r="AT81" s="313">
        <v>0</v>
      </c>
      <c r="AX81" s="313">
        <v>0</v>
      </c>
      <c r="BB81" s="313">
        <v>0</v>
      </c>
      <c r="BC81" s="313">
        <v>0</v>
      </c>
      <c r="BD81" s="313">
        <v>0</v>
      </c>
      <c r="BE81" s="313">
        <v>0</v>
      </c>
      <c r="BF81" s="313">
        <v>0</v>
      </c>
      <c r="BH81" s="313">
        <v>0</v>
      </c>
      <c r="BL81" s="313">
        <v>0</v>
      </c>
    </row>
    <row r="82" spans="1:66">
      <c r="A82" s="313" t="s">
        <v>495</v>
      </c>
      <c r="B82" s="313">
        <v>0</v>
      </c>
      <c r="C82" s="313">
        <v>0</v>
      </c>
      <c r="D82" s="313">
        <v>0</v>
      </c>
      <c r="E82" s="313">
        <v>0</v>
      </c>
      <c r="F82" s="313">
        <v>0</v>
      </c>
      <c r="G82" s="313">
        <v>0</v>
      </c>
      <c r="J82" s="313">
        <v>0</v>
      </c>
      <c r="N82" s="313">
        <v>0</v>
      </c>
      <c r="O82" s="313">
        <v>0</v>
      </c>
      <c r="P82" s="313">
        <v>0</v>
      </c>
      <c r="Q82" s="313">
        <v>0</v>
      </c>
      <c r="R82" s="313">
        <v>0</v>
      </c>
      <c r="S82" s="313">
        <v>0</v>
      </c>
      <c r="W82" s="313">
        <v>0</v>
      </c>
      <c r="AA82" s="313">
        <v>0</v>
      </c>
      <c r="AB82" s="313">
        <v>0</v>
      </c>
      <c r="AC82" s="313">
        <v>0</v>
      </c>
      <c r="AD82" s="313">
        <v>0</v>
      </c>
      <c r="AE82" s="313">
        <v>0</v>
      </c>
      <c r="AG82" s="313">
        <v>0</v>
      </c>
      <c r="AK82" s="313">
        <v>0</v>
      </c>
      <c r="AO82" s="313">
        <v>0</v>
      </c>
      <c r="AP82" s="313">
        <v>0</v>
      </c>
      <c r="AQ82" s="313">
        <v>0</v>
      </c>
      <c r="AR82" s="313">
        <v>0</v>
      </c>
      <c r="AS82" s="313">
        <v>0</v>
      </c>
      <c r="AT82" s="313">
        <v>0</v>
      </c>
      <c r="AX82" s="313">
        <v>0</v>
      </c>
      <c r="BB82" s="313">
        <v>0</v>
      </c>
      <c r="BC82" s="313">
        <v>0</v>
      </c>
      <c r="BD82" s="313">
        <v>0</v>
      </c>
      <c r="BE82" s="313">
        <v>0</v>
      </c>
      <c r="BF82" s="313">
        <v>0</v>
      </c>
      <c r="BH82" s="313">
        <v>0</v>
      </c>
      <c r="BL82" s="313">
        <v>0</v>
      </c>
    </row>
    <row r="83" spans="1:66">
      <c r="A83" s="313" t="s">
        <v>496</v>
      </c>
      <c r="B83" s="313">
        <v>0</v>
      </c>
      <c r="C83" s="313">
        <v>0</v>
      </c>
      <c r="D83" s="313">
        <v>0</v>
      </c>
      <c r="E83" s="313">
        <v>0</v>
      </c>
      <c r="F83" s="313">
        <v>0</v>
      </c>
      <c r="G83" s="313">
        <v>0</v>
      </c>
      <c r="J83" s="313">
        <v>0</v>
      </c>
      <c r="N83" s="313">
        <v>0</v>
      </c>
      <c r="O83" s="313">
        <v>0</v>
      </c>
      <c r="P83" s="313">
        <v>0</v>
      </c>
      <c r="Q83" s="313">
        <v>0</v>
      </c>
      <c r="R83" s="313">
        <v>0</v>
      </c>
      <c r="S83" s="313">
        <v>0</v>
      </c>
      <c r="W83" s="313">
        <v>0</v>
      </c>
      <c r="AA83" s="313">
        <v>0</v>
      </c>
      <c r="AB83" s="313">
        <v>0</v>
      </c>
      <c r="AC83" s="313">
        <v>0</v>
      </c>
      <c r="AD83" s="313">
        <v>0</v>
      </c>
      <c r="AE83" s="313">
        <v>0</v>
      </c>
      <c r="AG83" s="313">
        <v>0</v>
      </c>
      <c r="AK83" s="313">
        <v>0</v>
      </c>
      <c r="AO83" s="313">
        <v>0</v>
      </c>
      <c r="AP83" s="313">
        <v>0</v>
      </c>
      <c r="AQ83" s="313">
        <v>0</v>
      </c>
      <c r="AR83" s="313">
        <v>0</v>
      </c>
      <c r="AS83" s="313">
        <v>0</v>
      </c>
      <c r="AT83" s="313">
        <v>0</v>
      </c>
      <c r="AX83" s="313">
        <v>0</v>
      </c>
      <c r="BB83" s="313">
        <v>0</v>
      </c>
      <c r="BC83" s="313">
        <v>0</v>
      </c>
      <c r="BD83" s="313">
        <v>0</v>
      </c>
      <c r="BE83" s="313">
        <v>0</v>
      </c>
      <c r="BF83" s="313">
        <v>0</v>
      </c>
      <c r="BH83" s="313">
        <v>0</v>
      </c>
      <c r="BL83" s="313">
        <v>0</v>
      </c>
    </row>
    <row r="84" spans="1:66">
      <c r="A84" s="333" t="s">
        <v>497</v>
      </c>
      <c r="B84" s="333">
        <v>4298.514553</v>
      </c>
      <c r="C84" s="333">
        <v>5441.7038140000004</v>
      </c>
      <c r="D84" s="333">
        <v>1895.7777469999999</v>
      </c>
      <c r="E84" s="333">
        <v>5147.2626780000001</v>
      </c>
      <c r="F84" s="333">
        <v>14143.082466</v>
      </c>
      <c r="G84" s="333">
        <v>7127.5593909999998</v>
      </c>
      <c r="H84" s="333"/>
      <c r="I84" s="333"/>
      <c r="J84" s="333">
        <v>5388.482712</v>
      </c>
      <c r="K84" s="333"/>
      <c r="L84" s="333"/>
      <c r="M84" s="333"/>
      <c r="N84" s="333">
        <v>4741.2037810000002</v>
      </c>
      <c r="O84" s="333">
        <v>5550.648604</v>
      </c>
      <c r="P84" s="333">
        <v>6540.7262479999999</v>
      </c>
      <c r="Q84" s="333">
        <v>8633.4728130000003</v>
      </c>
      <c r="R84" s="333">
        <v>8830.7847739999997</v>
      </c>
      <c r="S84" s="333">
        <v>6998.8192469999995</v>
      </c>
      <c r="T84" s="333"/>
      <c r="U84" s="333"/>
      <c r="V84" s="333"/>
      <c r="W84" s="333">
        <v>-2827.663098</v>
      </c>
      <c r="X84" s="333"/>
      <c r="Y84" s="333"/>
      <c r="Z84" s="333"/>
      <c r="AA84" s="333">
        <v>7506.3078999999998</v>
      </c>
      <c r="AB84" s="333">
        <v>13459.090040000001</v>
      </c>
      <c r="AC84" s="333">
        <v>17934.008909</v>
      </c>
      <c r="AD84" s="333">
        <v>24443.818776</v>
      </c>
      <c r="AE84" s="333">
        <v>16506.455106999998</v>
      </c>
      <c r="AF84" s="333"/>
      <c r="AG84" s="333">
        <v>17883.230991</v>
      </c>
      <c r="AH84" s="333"/>
      <c r="AI84" s="333"/>
      <c r="AJ84" s="333"/>
      <c r="AK84" s="333">
        <v>10251.488111000001</v>
      </c>
      <c r="AL84" s="333"/>
      <c r="AM84" s="333"/>
      <c r="AN84" s="333"/>
      <c r="AO84" s="333">
        <v>22792.862421999998</v>
      </c>
      <c r="AP84" s="333">
        <v>33020.251789999995</v>
      </c>
      <c r="AQ84" s="333">
        <v>44079.642291000004</v>
      </c>
      <c r="AR84" s="333">
        <v>53010.729231999998</v>
      </c>
      <c r="AS84" s="333">
        <v>50554.608024000001</v>
      </c>
      <c r="AT84" s="333">
        <v>31182.843577</v>
      </c>
      <c r="AU84" s="333"/>
      <c r="AV84" s="333"/>
      <c r="AW84" s="333"/>
      <c r="AX84" s="333">
        <v>21830.938721999999</v>
      </c>
      <c r="AY84" s="333"/>
      <c r="AZ84" s="333"/>
      <c r="BA84" s="333"/>
      <c r="BB84" s="333">
        <v>7068.8721139999998</v>
      </c>
      <c r="BC84" s="333">
        <v>11136.364476000001</v>
      </c>
      <c r="BD84" s="333">
        <v>-30728.670904000002</v>
      </c>
      <c r="BE84" s="333">
        <v>12216.856711</v>
      </c>
      <c r="BF84" s="333">
        <v>14129.186234999999</v>
      </c>
      <c r="BG84" s="333"/>
      <c r="BH84" s="333">
        <v>24030.686558000001</v>
      </c>
      <c r="BI84" s="333"/>
      <c r="BJ84" s="333"/>
      <c r="BK84" s="333"/>
      <c r="BL84" s="333">
        <v>3820.0838210000002</v>
      </c>
      <c r="BM84" s="333"/>
      <c r="BN84" s="333"/>
    </row>
    <row r="85" spans="1:66">
      <c r="A85" s="313" t="s">
        <v>498</v>
      </c>
      <c r="B85" s="313">
        <v>4455.5331409999999</v>
      </c>
      <c r="C85" s="313">
        <v>5713.4814779999997</v>
      </c>
      <c r="D85" s="313">
        <v>1820.8924609999999</v>
      </c>
      <c r="E85" s="313">
        <v>4910.3845009999995</v>
      </c>
      <c r="F85" s="313">
        <v>13450.616601</v>
      </c>
      <c r="G85" s="313">
        <v>6554.3190169999998</v>
      </c>
      <c r="J85" s="313">
        <v>5019.8416859999998</v>
      </c>
      <c r="N85" s="313">
        <v>4741.2037810000002</v>
      </c>
      <c r="O85" s="313">
        <v>5550.648604</v>
      </c>
      <c r="P85" s="313">
        <v>6540.7262479999999</v>
      </c>
      <c r="Q85" s="313">
        <v>8533.4976499999993</v>
      </c>
      <c r="R85" s="313">
        <v>9102.4970329999996</v>
      </c>
      <c r="S85" s="313">
        <v>7066.3997859999999</v>
      </c>
      <c r="W85" s="313">
        <v>-2662.4337129999999</v>
      </c>
      <c r="AA85" s="313">
        <v>6305.0115109999997</v>
      </c>
      <c r="AB85" s="313">
        <v>11490.370811000001</v>
      </c>
      <c r="AC85" s="313">
        <v>15593.294108000002</v>
      </c>
      <c r="AD85" s="313">
        <v>21554.269497000001</v>
      </c>
      <c r="AE85" s="313">
        <v>12905.937483</v>
      </c>
      <c r="AG85" s="313">
        <v>13611.981028</v>
      </c>
      <c r="AK85" s="313">
        <v>7463.0848760000008</v>
      </c>
      <c r="AO85" s="313">
        <v>22846.617607</v>
      </c>
      <c r="AP85" s="313">
        <v>32424.979733</v>
      </c>
      <c r="AQ85" s="313">
        <v>43221.282963999998</v>
      </c>
      <c r="AR85" s="313">
        <v>51790.155991</v>
      </c>
      <c r="AS85" s="313">
        <v>50539.273979000005</v>
      </c>
      <c r="AT85" s="313">
        <v>30061.476681</v>
      </c>
      <c r="AX85" s="313">
        <v>21027.648741999998</v>
      </c>
      <c r="BB85" s="313">
        <v>7068.8721139999998</v>
      </c>
      <c r="BC85" s="313">
        <v>11136.364476000001</v>
      </c>
      <c r="BD85" s="313">
        <v>-30728.670904000002</v>
      </c>
      <c r="BE85" s="313">
        <v>12216.856711</v>
      </c>
      <c r="BF85" s="313">
        <v>14129.186234999999</v>
      </c>
      <c r="BH85" s="313">
        <v>24030.686558000001</v>
      </c>
      <c r="BL85" s="313">
        <v>3820.0838210000002</v>
      </c>
    </row>
    <row r="86" spans="1:66">
      <c r="A86" s="313" t="s">
        <v>499</v>
      </c>
      <c r="B86" s="313">
        <v>-157.01858799999999</v>
      </c>
      <c r="C86" s="313">
        <v>-271.77766400000002</v>
      </c>
      <c r="D86" s="313">
        <v>74.885285999999994</v>
      </c>
      <c r="E86" s="313">
        <v>236.87817699999999</v>
      </c>
      <c r="F86" s="313">
        <v>692.46586500000001</v>
      </c>
      <c r="G86" s="313">
        <v>573.24037399999997</v>
      </c>
      <c r="J86" s="313">
        <v>368.64102599999995</v>
      </c>
      <c r="N86" s="313">
        <v>0</v>
      </c>
      <c r="O86" s="313">
        <v>0</v>
      </c>
      <c r="P86" s="313">
        <v>0</v>
      </c>
      <c r="Q86" s="313">
        <v>99.975162999999995</v>
      </c>
      <c r="R86" s="313">
        <v>-271.71225899999996</v>
      </c>
      <c r="S86" s="313">
        <v>-67.580539000000002</v>
      </c>
      <c r="W86" s="313">
        <v>-165.22938500000001</v>
      </c>
      <c r="AA86" s="313">
        <v>1201.2963890000001</v>
      </c>
      <c r="AB86" s="313">
        <v>1968.7192289999998</v>
      </c>
      <c r="AC86" s="313">
        <v>2340.7148010000001</v>
      </c>
      <c r="AD86" s="313">
        <v>2889.5492789999998</v>
      </c>
      <c r="AE86" s="313">
        <v>3600.5176240000001</v>
      </c>
      <c r="AG86" s="313">
        <v>4271.2499630000002</v>
      </c>
      <c r="AK86" s="313">
        <v>2788.4032350000002</v>
      </c>
      <c r="AO86" s="313">
        <v>-53.755184999999997</v>
      </c>
      <c r="AP86" s="313">
        <v>595.27205700000002</v>
      </c>
      <c r="AQ86" s="313">
        <v>858.35932700000001</v>
      </c>
      <c r="AR86" s="313">
        <v>1220.5732410000001</v>
      </c>
      <c r="AS86" s="313">
        <v>15.334045000000001</v>
      </c>
      <c r="AT86" s="313">
        <v>1121.366896</v>
      </c>
      <c r="AX86" s="313">
        <v>803.28998000000001</v>
      </c>
      <c r="BB86" s="313">
        <v>0</v>
      </c>
      <c r="BC86" s="313">
        <v>0</v>
      </c>
      <c r="BD86" s="313">
        <v>0</v>
      </c>
      <c r="BE86" s="313">
        <v>0</v>
      </c>
      <c r="BF86" s="313">
        <v>0</v>
      </c>
      <c r="BH86" s="313">
        <v>0</v>
      </c>
      <c r="BL86" s="313">
        <v>0</v>
      </c>
    </row>
    <row r="91" spans="1:66">
      <c r="A91" s="332" t="s">
        <v>500</v>
      </c>
      <c r="B91" s="332"/>
      <c r="C91" s="332"/>
      <c r="D91" s="332"/>
      <c r="E91" s="332"/>
      <c r="F91" s="332"/>
      <c r="G91" s="332"/>
      <c r="H91" s="332"/>
      <c r="I91" s="332"/>
      <c r="J91" s="332"/>
      <c r="K91" s="332"/>
      <c r="L91" s="332"/>
      <c r="M91" s="332"/>
      <c r="N91" s="332"/>
      <c r="O91" s="332"/>
      <c r="P91" s="332"/>
      <c r="Q91" s="332"/>
      <c r="R91" s="332"/>
      <c r="S91" s="332"/>
      <c r="T91" s="332"/>
      <c r="U91" s="332"/>
      <c r="V91" s="332"/>
      <c r="W91" s="332"/>
      <c r="X91" s="332"/>
      <c r="Y91" s="332"/>
      <c r="Z91" s="332"/>
      <c r="AA91" s="332"/>
      <c r="AB91" s="332"/>
      <c r="AC91" s="332"/>
      <c r="AD91" s="332"/>
      <c r="AE91" s="332"/>
      <c r="AF91" s="332"/>
      <c r="AG91" s="332"/>
      <c r="AH91" s="332"/>
      <c r="AI91" s="332"/>
      <c r="AJ91" s="332"/>
      <c r="AK91" s="332"/>
      <c r="AL91" s="332"/>
      <c r="AM91" s="332"/>
      <c r="AN91" s="332"/>
      <c r="AO91" s="332"/>
      <c r="AP91" s="332"/>
      <c r="AQ91" s="332"/>
      <c r="AR91" s="332"/>
      <c r="AS91" s="332"/>
      <c r="AT91" s="332"/>
      <c r="AU91" s="332"/>
      <c r="AV91" s="332"/>
      <c r="AW91" s="332"/>
      <c r="AX91" s="332"/>
      <c r="AY91" s="332"/>
      <c r="AZ91" s="332"/>
      <c r="BA91" s="332"/>
      <c r="BB91" s="332"/>
      <c r="BC91" s="332"/>
      <c r="BD91" s="332"/>
      <c r="BE91" s="332"/>
      <c r="BF91" s="332"/>
      <c r="BG91" s="332"/>
      <c r="BH91" s="332"/>
      <c r="BI91" s="332"/>
      <c r="BJ91" s="332"/>
      <c r="BK91" s="332"/>
      <c r="BL91" s="332"/>
      <c r="BM91" s="332"/>
      <c r="BN91" s="332"/>
    </row>
    <row r="92" spans="1:66">
      <c r="A92" s="333" t="s">
        <v>96</v>
      </c>
      <c r="B92" s="333"/>
      <c r="C92" s="333"/>
      <c r="D92" s="333"/>
      <c r="E92" s="333"/>
      <c r="F92" s="333"/>
      <c r="G92" s="333"/>
      <c r="H92" s="333"/>
      <c r="I92" s="333"/>
      <c r="J92" s="333"/>
      <c r="K92" s="333"/>
      <c r="L92" s="333"/>
      <c r="M92" s="333"/>
      <c r="N92" s="333"/>
      <c r="O92" s="333"/>
      <c r="P92" s="333"/>
      <c r="Q92" s="333"/>
      <c r="R92" s="333"/>
      <c r="S92" s="333"/>
      <c r="T92" s="333"/>
      <c r="U92" s="333"/>
      <c r="V92" s="333"/>
      <c r="W92" s="333"/>
      <c r="X92" s="333"/>
      <c r="Y92" s="333"/>
      <c r="Z92" s="333"/>
      <c r="AA92" s="333"/>
      <c r="AB92" s="333"/>
      <c r="AC92" s="333"/>
      <c r="AD92" s="333"/>
      <c r="AE92" s="333"/>
      <c r="AF92" s="333"/>
      <c r="AG92" s="333"/>
      <c r="AH92" s="333"/>
      <c r="AI92" s="333"/>
      <c r="AJ92" s="333"/>
      <c r="AK92" s="333"/>
      <c r="AL92" s="333"/>
      <c r="AM92" s="333"/>
      <c r="AN92" s="333"/>
      <c r="AO92" s="333"/>
      <c r="AP92" s="333"/>
      <c r="AQ92" s="333"/>
      <c r="AR92" s="333"/>
      <c r="AS92" s="333"/>
      <c r="AT92" s="333"/>
      <c r="AU92" s="333"/>
      <c r="AV92" s="333"/>
      <c r="AW92" s="333"/>
      <c r="AX92" s="333"/>
      <c r="AY92" s="333"/>
      <c r="AZ92" s="333"/>
      <c r="BA92" s="333"/>
      <c r="BB92" s="333"/>
      <c r="BC92" s="333"/>
      <c r="BD92" s="333"/>
      <c r="BE92" s="333"/>
      <c r="BF92" s="333"/>
      <c r="BG92" s="333"/>
      <c r="BH92" s="333"/>
      <c r="BI92" s="333"/>
      <c r="BJ92" s="333"/>
      <c r="BK92" s="333"/>
      <c r="BL92" s="333"/>
      <c r="BM92" s="333"/>
      <c r="BN92" s="333"/>
    </row>
    <row r="93" spans="1:66">
      <c r="A93" s="313" t="s">
        <v>501</v>
      </c>
      <c r="B93" s="313">
        <v>15408.006668</v>
      </c>
      <c r="C93" s="313">
        <v>53040.258974000004</v>
      </c>
      <c r="D93" s="313">
        <v>50775.991919</v>
      </c>
      <c r="E93" s="313">
        <v>46617.172391</v>
      </c>
      <c r="F93" s="313">
        <v>70848.094672000007</v>
      </c>
      <c r="G93" s="313">
        <v>74138.602264999994</v>
      </c>
      <c r="J93" s="313">
        <v>51899.623748000005</v>
      </c>
      <c r="N93" s="313">
        <v>13968.044980000001</v>
      </c>
      <c r="O93" s="313">
        <v>21344.156207</v>
      </c>
      <c r="P93" s="313">
        <v>23860.528426000001</v>
      </c>
      <c r="Q93" s="313">
        <v>38536.543545</v>
      </c>
      <c r="R93" s="313">
        <v>39334.566254999998</v>
      </c>
      <c r="S93" s="313">
        <v>37769.714627999994</v>
      </c>
      <c r="W93" s="313">
        <v>27629.503772000004</v>
      </c>
      <c r="AA93" s="313">
        <v>41034.912958999994</v>
      </c>
      <c r="AB93" s="313">
        <v>18472.967649999999</v>
      </c>
      <c r="AC93" s="313">
        <v>34541.240899999997</v>
      </c>
      <c r="AD93" s="313">
        <v>30358.491801</v>
      </c>
      <c r="AE93" s="313">
        <v>47635.030726999998</v>
      </c>
      <c r="AG93" s="313">
        <v>37014.306911</v>
      </c>
      <c r="AK93" s="313">
        <v>27862.268698000003</v>
      </c>
      <c r="AO93" s="313">
        <v>45628.221512000004</v>
      </c>
      <c r="AP93" s="313">
        <v>56894.844686999997</v>
      </c>
      <c r="AQ93" s="313">
        <v>91154.291022000005</v>
      </c>
      <c r="AR93" s="313">
        <v>118085.299918</v>
      </c>
      <c r="AS93" s="313">
        <v>91922.295329</v>
      </c>
      <c r="AT93" s="313">
        <v>94099.673400999993</v>
      </c>
      <c r="AX93" s="313">
        <v>79946.579360999996</v>
      </c>
      <c r="BB93" s="313">
        <v>18641.803446000002</v>
      </c>
      <c r="BC93" s="313">
        <v>65957.775697999998</v>
      </c>
      <c r="BD93" s="313">
        <v>59862.413170000007</v>
      </c>
      <c r="BE93" s="313">
        <v>37009.460608999994</v>
      </c>
      <c r="BF93" s="313">
        <v>35593.238687999998</v>
      </c>
      <c r="BH93" s="313">
        <v>31809.819905</v>
      </c>
      <c r="BL93" s="313">
        <v>15023.333181</v>
      </c>
    </row>
    <row r="94" spans="1:66">
      <c r="A94" s="313" t="s">
        <v>502</v>
      </c>
      <c r="B94" s="313">
        <v>0</v>
      </c>
      <c r="C94" s="313">
        <v>0</v>
      </c>
      <c r="D94" s="313">
        <v>0</v>
      </c>
      <c r="E94" s="313">
        <v>0</v>
      </c>
      <c r="F94" s="313">
        <v>0</v>
      </c>
      <c r="G94" s="313">
        <v>0</v>
      </c>
      <c r="J94" s="313">
        <v>0</v>
      </c>
      <c r="N94" s="313">
        <v>0</v>
      </c>
      <c r="O94" s="313">
        <v>0</v>
      </c>
      <c r="P94" s="313">
        <v>0</v>
      </c>
      <c r="Q94" s="313">
        <v>0</v>
      </c>
      <c r="R94" s="313">
        <v>0</v>
      </c>
      <c r="S94" s="313">
        <v>0</v>
      </c>
      <c r="W94" s="313">
        <v>0</v>
      </c>
      <c r="AA94" s="313">
        <v>0</v>
      </c>
      <c r="AB94" s="313">
        <v>0</v>
      </c>
      <c r="AC94" s="313">
        <v>0</v>
      </c>
      <c r="AD94" s="313">
        <v>0</v>
      </c>
      <c r="AE94" s="313">
        <v>0</v>
      </c>
      <c r="AG94" s="313">
        <v>0</v>
      </c>
      <c r="AK94" s="313">
        <v>0</v>
      </c>
      <c r="AO94" s="313">
        <v>0</v>
      </c>
      <c r="AP94" s="313">
        <v>0</v>
      </c>
      <c r="AQ94" s="313">
        <v>0</v>
      </c>
      <c r="AR94" s="313">
        <v>0</v>
      </c>
      <c r="AS94" s="313">
        <v>0</v>
      </c>
      <c r="AT94" s="313">
        <v>0</v>
      </c>
      <c r="AX94" s="313">
        <v>0</v>
      </c>
      <c r="BB94" s="313">
        <v>0</v>
      </c>
      <c r="BC94" s="313">
        <v>0</v>
      </c>
      <c r="BD94" s="313">
        <v>0</v>
      </c>
      <c r="BE94" s="313">
        <v>0</v>
      </c>
      <c r="BF94" s="313">
        <v>0</v>
      </c>
      <c r="BH94" s="313">
        <v>0</v>
      </c>
      <c r="BL94" s="313">
        <v>0</v>
      </c>
    </row>
    <row r="95" spans="1:66">
      <c r="A95" s="313" t="s">
        <v>503</v>
      </c>
      <c r="B95" s="313">
        <v>0</v>
      </c>
      <c r="C95" s="313">
        <v>0</v>
      </c>
      <c r="D95" s="313">
        <v>0</v>
      </c>
      <c r="E95" s="313">
        <v>0</v>
      </c>
      <c r="F95" s="313">
        <v>0</v>
      </c>
      <c r="G95" s="313">
        <v>0</v>
      </c>
      <c r="J95" s="313">
        <v>0</v>
      </c>
      <c r="N95" s="313">
        <v>0</v>
      </c>
      <c r="O95" s="313">
        <v>0</v>
      </c>
      <c r="P95" s="313">
        <v>0</v>
      </c>
      <c r="Q95" s="313">
        <v>0</v>
      </c>
      <c r="R95" s="313">
        <v>0</v>
      </c>
      <c r="S95" s="313">
        <v>0</v>
      </c>
      <c r="W95" s="313">
        <v>0</v>
      </c>
      <c r="AA95" s="313">
        <v>0</v>
      </c>
      <c r="AB95" s="313">
        <v>0</v>
      </c>
      <c r="AC95" s="313">
        <v>0</v>
      </c>
      <c r="AD95" s="313">
        <v>0</v>
      </c>
      <c r="AE95" s="313">
        <v>0</v>
      </c>
      <c r="AG95" s="313">
        <v>0</v>
      </c>
      <c r="AK95" s="313">
        <v>0</v>
      </c>
      <c r="AO95" s="313">
        <v>0</v>
      </c>
      <c r="AP95" s="313">
        <v>0</v>
      </c>
      <c r="AQ95" s="313">
        <v>0</v>
      </c>
      <c r="AR95" s="313">
        <v>0</v>
      </c>
      <c r="AS95" s="313">
        <v>0</v>
      </c>
      <c r="AT95" s="313">
        <v>0</v>
      </c>
      <c r="AX95" s="313">
        <v>0</v>
      </c>
      <c r="BB95" s="313">
        <v>0</v>
      </c>
      <c r="BC95" s="313">
        <v>0</v>
      </c>
      <c r="BD95" s="313">
        <v>0</v>
      </c>
      <c r="BE95" s="313">
        <v>0</v>
      </c>
      <c r="BF95" s="313">
        <v>0</v>
      </c>
      <c r="BH95" s="313">
        <v>0</v>
      </c>
      <c r="BL95" s="313">
        <v>0</v>
      </c>
    </row>
    <row r="96" spans="1:66">
      <c r="A96" s="313" t="s">
        <v>504</v>
      </c>
      <c r="B96" s="313">
        <v>0</v>
      </c>
      <c r="C96" s="313">
        <v>0</v>
      </c>
      <c r="D96" s="313">
        <v>0</v>
      </c>
      <c r="E96" s="313">
        <v>0</v>
      </c>
      <c r="F96" s="313">
        <v>0</v>
      </c>
      <c r="G96" s="313">
        <v>0</v>
      </c>
      <c r="J96" s="313">
        <v>0</v>
      </c>
      <c r="N96" s="313">
        <v>0</v>
      </c>
      <c r="O96" s="313">
        <v>0</v>
      </c>
      <c r="P96" s="313">
        <v>0</v>
      </c>
      <c r="Q96" s="313">
        <v>0</v>
      </c>
      <c r="R96" s="313">
        <v>0</v>
      </c>
      <c r="S96" s="313">
        <v>0</v>
      </c>
      <c r="W96" s="313">
        <v>0</v>
      </c>
      <c r="AA96" s="313">
        <v>0</v>
      </c>
      <c r="AB96" s="313">
        <v>0</v>
      </c>
      <c r="AC96" s="313">
        <v>312.39217000000002</v>
      </c>
      <c r="AD96" s="313">
        <v>172.23840000000001</v>
      </c>
      <c r="AE96" s="313">
        <v>223.27199999999999</v>
      </c>
      <c r="AG96" s="313">
        <v>0</v>
      </c>
      <c r="AK96" s="313">
        <v>0</v>
      </c>
      <c r="AO96" s="313">
        <v>0</v>
      </c>
      <c r="AP96" s="313">
        <v>0</v>
      </c>
      <c r="AQ96" s="313">
        <v>0</v>
      </c>
      <c r="AR96" s="313">
        <v>0</v>
      </c>
      <c r="AS96" s="313">
        <v>3335</v>
      </c>
      <c r="AT96" s="313">
        <v>1900</v>
      </c>
      <c r="AU96" s="313">
        <v>1900</v>
      </c>
      <c r="AX96" s="313">
        <v>29600</v>
      </c>
      <c r="AY96" s="313">
        <v>29600</v>
      </c>
      <c r="BB96" s="313">
        <v>0</v>
      </c>
      <c r="BC96" s="313">
        <v>0</v>
      </c>
      <c r="BD96" s="313">
        <v>0</v>
      </c>
      <c r="BE96" s="313">
        <v>0</v>
      </c>
      <c r="BF96" s="313">
        <v>0</v>
      </c>
      <c r="BH96" s="313">
        <v>0</v>
      </c>
      <c r="BI96" s="313">
        <v>0</v>
      </c>
      <c r="BL96" s="313">
        <v>0</v>
      </c>
      <c r="BM96" s="313">
        <v>0</v>
      </c>
    </row>
    <row r="97" spans="1:66">
      <c r="A97" s="313" t="s">
        <v>505</v>
      </c>
      <c r="B97" s="313">
        <v>0</v>
      </c>
      <c r="C97" s="313">
        <v>0</v>
      </c>
      <c r="D97" s="313">
        <v>0</v>
      </c>
      <c r="E97" s="313">
        <v>0</v>
      </c>
      <c r="F97" s="313">
        <v>0</v>
      </c>
      <c r="G97" s="313">
        <v>0</v>
      </c>
      <c r="J97" s="313">
        <v>0</v>
      </c>
      <c r="N97" s="313">
        <v>0</v>
      </c>
      <c r="O97" s="313">
        <v>0</v>
      </c>
      <c r="P97" s="313">
        <v>0</v>
      </c>
      <c r="Q97" s="313">
        <v>0</v>
      </c>
      <c r="R97" s="313">
        <v>0</v>
      </c>
      <c r="S97" s="313">
        <v>0</v>
      </c>
      <c r="W97" s="313">
        <v>0</v>
      </c>
      <c r="AA97" s="313">
        <v>0</v>
      </c>
      <c r="AB97" s="313">
        <v>0</v>
      </c>
      <c r="AC97" s="313">
        <v>0</v>
      </c>
      <c r="AD97" s="313">
        <v>0</v>
      </c>
      <c r="AE97" s="313">
        <v>0</v>
      </c>
      <c r="AG97" s="313">
        <v>0</v>
      </c>
      <c r="AK97" s="313">
        <v>0</v>
      </c>
      <c r="AO97" s="313">
        <v>0</v>
      </c>
      <c r="AP97" s="313">
        <v>0</v>
      </c>
      <c r="AQ97" s="313">
        <v>0</v>
      </c>
      <c r="AR97" s="313">
        <v>0</v>
      </c>
      <c r="AS97" s="313">
        <v>0</v>
      </c>
      <c r="AT97" s="313">
        <v>0</v>
      </c>
      <c r="AX97" s="313">
        <v>0</v>
      </c>
      <c r="BB97" s="313">
        <v>0</v>
      </c>
      <c r="BC97" s="313">
        <v>0</v>
      </c>
      <c r="BD97" s="313">
        <v>0</v>
      </c>
      <c r="BE97" s="313">
        <v>0</v>
      </c>
      <c r="BF97" s="313">
        <v>0</v>
      </c>
      <c r="BH97" s="313">
        <v>0</v>
      </c>
      <c r="BL97" s="313">
        <v>0</v>
      </c>
    </row>
    <row r="98" spans="1:66">
      <c r="A98" s="313" t="s">
        <v>506</v>
      </c>
      <c r="B98" s="313">
        <v>18074.663719</v>
      </c>
      <c r="C98" s="313">
        <v>28124.776261999999</v>
      </c>
      <c r="D98" s="313">
        <v>37569.902930000004</v>
      </c>
      <c r="E98" s="313">
        <v>46744.713881999996</v>
      </c>
      <c r="F98" s="313">
        <v>48214.100211000004</v>
      </c>
      <c r="G98" s="313">
        <v>37864.670037999997</v>
      </c>
      <c r="J98" s="313">
        <v>59416.359053</v>
      </c>
      <c r="N98" s="313">
        <v>28246.435680000002</v>
      </c>
      <c r="O98" s="313">
        <v>30426.29247</v>
      </c>
      <c r="P98" s="313">
        <v>40307.702001999998</v>
      </c>
      <c r="Q98" s="313">
        <v>42489.47853</v>
      </c>
      <c r="R98" s="313">
        <v>44563.260372000004</v>
      </c>
      <c r="S98" s="313">
        <v>35600.208957999996</v>
      </c>
      <c r="W98" s="313">
        <v>38484.919761999998</v>
      </c>
      <c r="AA98" s="313">
        <v>68757.122845000005</v>
      </c>
      <c r="AB98" s="313">
        <v>103453.706273</v>
      </c>
      <c r="AC98" s="313">
        <v>138967.84825700001</v>
      </c>
      <c r="AD98" s="313">
        <v>165138.51282999999</v>
      </c>
      <c r="AE98" s="313">
        <v>167882.89345100001</v>
      </c>
      <c r="AG98" s="313">
        <v>169920.85987099999</v>
      </c>
      <c r="AK98" s="313">
        <v>151257.12510199999</v>
      </c>
      <c r="AO98" s="313">
        <v>70612.861434000006</v>
      </c>
      <c r="AP98" s="313">
        <v>93826.256894999999</v>
      </c>
      <c r="AQ98" s="313">
        <v>124454.39396400002</v>
      </c>
      <c r="AR98" s="313">
        <v>171154.04345599998</v>
      </c>
      <c r="AS98" s="313">
        <v>193138.21427299999</v>
      </c>
      <c r="AT98" s="313">
        <v>151293.523758</v>
      </c>
      <c r="AX98" s="313">
        <v>143302.26899400001</v>
      </c>
      <c r="BB98" s="313">
        <v>25796.442401</v>
      </c>
      <c r="BC98" s="313">
        <v>31664.500594000001</v>
      </c>
      <c r="BD98" s="313">
        <v>30434.167849000001</v>
      </c>
      <c r="BE98" s="313">
        <v>35124.275858999994</v>
      </c>
      <c r="BF98" s="313">
        <v>45595.987741000004</v>
      </c>
      <c r="BH98" s="313">
        <v>59414.082754999996</v>
      </c>
      <c r="BL98" s="313">
        <v>53554.605748000002</v>
      </c>
    </row>
    <row r="99" spans="1:66">
      <c r="A99" s="313" t="s">
        <v>841</v>
      </c>
      <c r="B99" s="313">
        <v>734.048</v>
      </c>
      <c r="C99" s="313">
        <v>180</v>
      </c>
      <c r="D99" s="313">
        <v>431.82361600000002</v>
      </c>
      <c r="E99" s="313">
        <v>4061.3240659999997</v>
      </c>
      <c r="F99" s="313">
        <v>123.97579099999999</v>
      </c>
      <c r="G99" s="313">
        <v>116.375</v>
      </c>
      <c r="J99" s="313">
        <v>0</v>
      </c>
      <c r="N99" s="313">
        <v>0</v>
      </c>
      <c r="O99" s="313">
        <v>183.1</v>
      </c>
      <c r="P99" s="313">
        <v>716.30970000000002</v>
      </c>
      <c r="Q99" s="313">
        <v>495.85687999999999</v>
      </c>
      <c r="R99" s="313">
        <v>507.03146500000003</v>
      </c>
      <c r="S99" s="313">
        <v>683.99156900000003</v>
      </c>
      <c r="W99" s="313">
        <v>603.11119099999996</v>
      </c>
      <c r="AA99" s="313">
        <v>1422.682495</v>
      </c>
      <c r="AB99" s="313">
        <v>7582.902255</v>
      </c>
      <c r="AC99" s="313">
        <v>12991.530262999999</v>
      </c>
      <c r="AD99" s="313">
        <v>11599.649234999999</v>
      </c>
      <c r="AE99" s="313">
        <v>10170.429612</v>
      </c>
      <c r="AG99" s="313">
        <v>4605.8354630000003</v>
      </c>
      <c r="AK99" s="313">
        <v>8748.3499229999998</v>
      </c>
      <c r="AO99" s="313">
        <v>1602.26298</v>
      </c>
      <c r="AP99" s="313">
        <v>2441.83095</v>
      </c>
      <c r="AQ99" s="313">
        <v>3987.8421200000003</v>
      </c>
      <c r="AR99" s="313">
        <v>4373.5185490000003</v>
      </c>
      <c r="AS99" s="313">
        <v>5376.4201080000003</v>
      </c>
      <c r="AT99" s="313">
        <v>4740.5017319999997</v>
      </c>
      <c r="AX99" s="313">
        <v>4984.6243079999995</v>
      </c>
      <c r="BB99" s="313">
        <v>51.497999999999998</v>
      </c>
      <c r="BC99" s="313">
        <v>785.75142699999992</v>
      </c>
      <c r="BD99" s="313">
        <v>330.86399999999998</v>
      </c>
      <c r="BE99" s="313">
        <v>92.992000000000004</v>
      </c>
      <c r="BF99" s="313">
        <v>651.32000000000005</v>
      </c>
      <c r="BH99" s="313">
        <v>2018.9382879999998</v>
      </c>
      <c r="BL99" s="313">
        <v>31.4</v>
      </c>
    </row>
    <row r="100" spans="1:66">
      <c r="A100" s="313" t="s">
        <v>842</v>
      </c>
      <c r="B100" s="313">
        <v>17340.615719000001</v>
      </c>
      <c r="C100" s="313">
        <v>27944.776261999999</v>
      </c>
      <c r="D100" s="313">
        <v>37138.079313999995</v>
      </c>
      <c r="E100" s="313">
        <v>42683.389816000003</v>
      </c>
      <c r="F100" s="313">
        <v>48090.12442</v>
      </c>
      <c r="G100" s="313">
        <v>37748.295037999997</v>
      </c>
      <c r="J100" s="313">
        <v>59416.359053</v>
      </c>
      <c r="N100" s="313">
        <v>28246.435680000002</v>
      </c>
      <c r="O100" s="313">
        <v>30243.192469999998</v>
      </c>
      <c r="P100" s="313">
        <v>39591.392302</v>
      </c>
      <c r="Q100" s="313">
        <v>41993.621650000001</v>
      </c>
      <c r="R100" s="313">
        <v>44056.228906999997</v>
      </c>
      <c r="S100" s="313">
        <v>34916.217388999998</v>
      </c>
      <c r="W100" s="313">
        <v>37881.808571000001</v>
      </c>
      <c r="AA100" s="313">
        <v>67334.440350000004</v>
      </c>
      <c r="AB100" s="313">
        <v>95870.804017999995</v>
      </c>
      <c r="AC100" s="313">
        <v>125976.31799400001</v>
      </c>
      <c r="AD100" s="313">
        <v>153538.863595</v>
      </c>
      <c r="AE100" s="313">
        <v>157712.463839</v>
      </c>
      <c r="AG100" s="313">
        <v>165315.024408</v>
      </c>
      <c r="AK100" s="313">
        <v>142508.77517899999</v>
      </c>
      <c r="AO100" s="313">
        <v>69010.598453999992</v>
      </c>
      <c r="AP100" s="313">
        <v>91384.42594500001</v>
      </c>
      <c r="AQ100" s="313">
        <v>120466.551844</v>
      </c>
      <c r="AR100" s="313">
        <v>166780.52490699998</v>
      </c>
      <c r="AS100" s="313">
        <v>187761.794165</v>
      </c>
      <c r="AT100" s="313">
        <v>146553.02202599999</v>
      </c>
      <c r="AX100" s="313">
        <v>138317.64468599999</v>
      </c>
      <c r="BB100" s="313">
        <v>25744.944401000001</v>
      </c>
      <c r="BC100" s="313">
        <v>30878.749167000002</v>
      </c>
      <c r="BD100" s="313">
        <v>30103.303849</v>
      </c>
      <c r="BE100" s="313">
        <v>35031.283858999996</v>
      </c>
      <c r="BF100" s="313">
        <v>44944.667741000005</v>
      </c>
      <c r="BH100" s="313">
        <v>57395.144466999998</v>
      </c>
      <c r="BL100" s="313">
        <v>53523.205748</v>
      </c>
    </row>
    <row r="101" spans="1:66">
      <c r="A101" s="313" t="s">
        <v>507</v>
      </c>
      <c r="B101" s="313">
        <v>0</v>
      </c>
      <c r="C101" s="313">
        <v>0</v>
      </c>
      <c r="D101" s="313">
        <v>0</v>
      </c>
      <c r="E101" s="313">
        <v>0</v>
      </c>
      <c r="F101" s="313">
        <v>4470.8874999999998</v>
      </c>
      <c r="G101" s="313">
        <v>4615.1666999999998</v>
      </c>
      <c r="J101" s="313">
        <v>7388.1964939999998</v>
      </c>
      <c r="N101" s="313">
        <v>0</v>
      </c>
      <c r="O101" s="313">
        <v>0</v>
      </c>
      <c r="P101" s="313">
        <v>0</v>
      </c>
      <c r="Q101" s="313">
        <v>0</v>
      </c>
      <c r="R101" s="313">
        <v>0</v>
      </c>
      <c r="S101" s="313">
        <v>0</v>
      </c>
      <c r="W101" s="313">
        <v>0</v>
      </c>
      <c r="AA101" s="313">
        <v>0</v>
      </c>
      <c r="AB101" s="313">
        <v>0</v>
      </c>
      <c r="AC101" s="313">
        <v>0</v>
      </c>
      <c r="AD101" s="313">
        <v>0</v>
      </c>
      <c r="AE101" s="313">
        <v>4337.9836020000002</v>
      </c>
      <c r="AG101" s="313">
        <v>1190.189122</v>
      </c>
      <c r="AK101" s="313">
        <v>9050.4227289999999</v>
      </c>
      <c r="AO101" s="313">
        <v>0</v>
      </c>
      <c r="AP101" s="313">
        <v>0</v>
      </c>
      <c r="AQ101" s="313">
        <v>0</v>
      </c>
      <c r="AR101" s="313">
        <v>0</v>
      </c>
      <c r="AS101" s="313">
        <v>0</v>
      </c>
      <c r="AT101" s="313">
        <v>0</v>
      </c>
      <c r="AX101" s="313">
        <v>0</v>
      </c>
      <c r="BB101" s="313">
        <v>0</v>
      </c>
      <c r="BC101" s="313">
        <v>0</v>
      </c>
      <c r="BD101" s="313">
        <v>0</v>
      </c>
      <c r="BE101" s="313">
        <v>0</v>
      </c>
      <c r="BF101" s="313">
        <v>0</v>
      </c>
      <c r="BH101" s="313">
        <v>0</v>
      </c>
      <c r="BL101" s="313">
        <v>0</v>
      </c>
    </row>
    <row r="102" spans="1:66">
      <c r="A102" s="313" t="s">
        <v>843</v>
      </c>
      <c r="B102" s="313">
        <v>845.5284630000001</v>
      </c>
      <c r="C102" s="313">
        <v>442.24569100000002</v>
      </c>
      <c r="D102" s="313">
        <v>1211.5996239999999</v>
      </c>
      <c r="E102" s="313">
        <v>1877.0894219999998</v>
      </c>
      <c r="F102" s="313">
        <v>1376.468662</v>
      </c>
      <c r="G102" s="313">
        <v>853.06918000000007</v>
      </c>
      <c r="J102" s="313">
        <v>9374.6982920000009</v>
      </c>
      <c r="N102" s="313">
        <v>0</v>
      </c>
      <c r="O102" s="313">
        <v>0</v>
      </c>
      <c r="P102" s="313">
        <v>0</v>
      </c>
      <c r="Q102" s="313">
        <v>0</v>
      </c>
      <c r="R102" s="313">
        <v>0</v>
      </c>
      <c r="S102" s="313">
        <v>72.820481999999998</v>
      </c>
      <c r="W102" s="313">
        <v>0</v>
      </c>
      <c r="AA102" s="313">
        <v>8033.7971010000001</v>
      </c>
      <c r="AB102" s="313">
        <v>13557.346202000001</v>
      </c>
      <c r="AC102" s="313">
        <v>14570.86472</v>
      </c>
      <c r="AD102" s="313">
        <v>9743.8951909999996</v>
      </c>
      <c r="AE102" s="313">
        <v>45263.561277999994</v>
      </c>
      <c r="AG102" s="313">
        <v>23522.387789</v>
      </c>
      <c r="AK102" s="313">
        <v>17991.444023</v>
      </c>
      <c r="AO102" s="313">
        <v>2358.410292</v>
      </c>
      <c r="AP102" s="313">
        <v>2784.497468</v>
      </c>
      <c r="AQ102" s="313">
        <v>2640.2725439999999</v>
      </c>
      <c r="AR102" s="313">
        <v>4770.8306689999999</v>
      </c>
      <c r="AS102" s="313">
        <v>4105.6007790000003</v>
      </c>
      <c r="AT102" s="313">
        <v>3006.2941980000001</v>
      </c>
      <c r="AX102" s="313">
        <v>3957.1319990000002</v>
      </c>
      <c r="BB102" s="313">
        <v>160.769406</v>
      </c>
      <c r="BC102" s="313">
        <v>546.45964000000004</v>
      </c>
      <c r="BD102" s="313">
        <v>581.25926700000002</v>
      </c>
      <c r="BE102" s="313">
        <v>473.23608899999999</v>
      </c>
      <c r="BF102" s="313">
        <v>1071.963669</v>
      </c>
      <c r="BH102" s="313">
        <v>931.80637200000001</v>
      </c>
      <c r="BL102" s="313">
        <v>1415.1740339999999</v>
      </c>
    </row>
    <row r="103" spans="1:66">
      <c r="A103" s="313" t="s">
        <v>508</v>
      </c>
      <c r="B103" s="313">
        <v>0</v>
      </c>
      <c r="C103" s="313">
        <v>0</v>
      </c>
      <c r="D103" s="313">
        <v>0</v>
      </c>
      <c r="E103" s="313">
        <v>0</v>
      </c>
      <c r="F103" s="313">
        <v>0</v>
      </c>
      <c r="G103" s="313">
        <v>0</v>
      </c>
      <c r="J103" s="313">
        <v>0</v>
      </c>
      <c r="N103" s="313">
        <v>0</v>
      </c>
      <c r="O103" s="313">
        <v>0</v>
      </c>
      <c r="P103" s="313">
        <v>0</v>
      </c>
      <c r="Q103" s="313">
        <v>0</v>
      </c>
      <c r="R103" s="313">
        <v>0</v>
      </c>
      <c r="S103" s="313">
        <v>0</v>
      </c>
      <c r="W103" s="313">
        <v>0</v>
      </c>
      <c r="AA103" s="313">
        <v>0</v>
      </c>
      <c r="AB103" s="313">
        <v>0</v>
      </c>
      <c r="AC103" s="313">
        <v>0</v>
      </c>
      <c r="AD103" s="313">
        <v>0</v>
      </c>
      <c r="AE103" s="313">
        <v>0</v>
      </c>
      <c r="AG103" s="313">
        <v>0</v>
      </c>
      <c r="AK103" s="313">
        <v>0</v>
      </c>
      <c r="AO103" s="313">
        <v>0</v>
      </c>
      <c r="AP103" s="313">
        <v>0</v>
      </c>
      <c r="AQ103" s="313">
        <v>0</v>
      </c>
      <c r="AR103" s="313">
        <v>0</v>
      </c>
      <c r="AS103" s="313">
        <v>0</v>
      </c>
      <c r="AT103" s="313">
        <v>0</v>
      </c>
      <c r="AX103" s="313">
        <v>0</v>
      </c>
      <c r="BB103" s="313">
        <v>0</v>
      </c>
      <c r="BC103" s="313">
        <v>0</v>
      </c>
      <c r="BD103" s="313">
        <v>0</v>
      </c>
      <c r="BE103" s="313">
        <v>0</v>
      </c>
      <c r="BF103" s="313">
        <v>0</v>
      </c>
      <c r="BH103" s="313">
        <v>0</v>
      </c>
      <c r="BL103" s="313">
        <v>0</v>
      </c>
    </row>
    <row r="104" spans="1:66">
      <c r="A104" s="313" t="s">
        <v>509</v>
      </c>
      <c r="B104" s="313">
        <v>0</v>
      </c>
      <c r="C104" s="313">
        <v>0</v>
      </c>
      <c r="D104" s="313">
        <v>0</v>
      </c>
      <c r="E104" s="313">
        <v>0</v>
      </c>
      <c r="F104" s="313">
        <v>0</v>
      </c>
      <c r="G104" s="313">
        <v>0</v>
      </c>
      <c r="J104" s="313">
        <v>0</v>
      </c>
      <c r="N104" s="313">
        <v>0</v>
      </c>
      <c r="O104" s="313">
        <v>0</v>
      </c>
      <c r="P104" s="313">
        <v>0</v>
      </c>
      <c r="Q104" s="313">
        <v>0</v>
      </c>
      <c r="R104" s="313">
        <v>0</v>
      </c>
      <c r="S104" s="313">
        <v>0</v>
      </c>
      <c r="W104" s="313">
        <v>0</v>
      </c>
      <c r="AA104" s="313">
        <v>0</v>
      </c>
      <c r="AB104" s="313">
        <v>0</v>
      </c>
      <c r="AC104" s="313">
        <v>0</v>
      </c>
      <c r="AD104" s="313">
        <v>0</v>
      </c>
      <c r="AE104" s="313">
        <v>0</v>
      </c>
      <c r="AG104" s="313">
        <v>0</v>
      </c>
      <c r="AK104" s="313">
        <v>0</v>
      </c>
      <c r="AO104" s="313">
        <v>0</v>
      </c>
      <c r="AP104" s="313">
        <v>0</v>
      </c>
      <c r="AQ104" s="313">
        <v>0</v>
      </c>
      <c r="AR104" s="313">
        <v>0</v>
      </c>
      <c r="AS104" s="313">
        <v>0</v>
      </c>
      <c r="AT104" s="313">
        <v>0</v>
      </c>
      <c r="AX104" s="313">
        <v>0</v>
      </c>
      <c r="BB104" s="313">
        <v>0</v>
      </c>
      <c r="BC104" s="313">
        <v>0</v>
      </c>
      <c r="BD104" s="313">
        <v>0</v>
      </c>
      <c r="BE104" s="313">
        <v>0</v>
      </c>
      <c r="BF104" s="313">
        <v>0</v>
      </c>
      <c r="BH104" s="313">
        <v>0</v>
      </c>
      <c r="BL104" s="313">
        <v>0</v>
      </c>
    </row>
    <row r="105" spans="1:66">
      <c r="A105" s="313" t="s">
        <v>510</v>
      </c>
      <c r="B105" s="313">
        <v>0</v>
      </c>
      <c r="C105" s="313">
        <v>0</v>
      </c>
      <c r="D105" s="313">
        <v>0</v>
      </c>
      <c r="E105" s="313">
        <v>0</v>
      </c>
      <c r="F105" s="313">
        <v>0</v>
      </c>
      <c r="G105" s="313">
        <v>0</v>
      </c>
      <c r="J105" s="313">
        <v>0</v>
      </c>
      <c r="N105" s="313">
        <v>0</v>
      </c>
      <c r="O105" s="313">
        <v>0</v>
      </c>
      <c r="P105" s="313">
        <v>0</v>
      </c>
      <c r="Q105" s="313">
        <v>0</v>
      </c>
      <c r="R105" s="313">
        <v>0</v>
      </c>
      <c r="S105" s="313">
        <v>0</v>
      </c>
      <c r="W105" s="313">
        <v>0</v>
      </c>
      <c r="AA105" s="313">
        <v>0</v>
      </c>
      <c r="AB105" s="313">
        <v>0</v>
      </c>
      <c r="AC105" s="313">
        <v>0</v>
      </c>
      <c r="AD105" s="313">
        <v>0</v>
      </c>
      <c r="AE105" s="313">
        <v>0</v>
      </c>
      <c r="AG105" s="313">
        <v>0</v>
      </c>
      <c r="AK105" s="313">
        <v>0</v>
      </c>
      <c r="AO105" s="313">
        <v>0</v>
      </c>
      <c r="AP105" s="313">
        <v>0</v>
      </c>
      <c r="AQ105" s="313">
        <v>0</v>
      </c>
      <c r="AR105" s="313">
        <v>0</v>
      </c>
      <c r="AS105" s="313">
        <v>0</v>
      </c>
      <c r="AT105" s="313">
        <v>0</v>
      </c>
      <c r="AX105" s="313">
        <v>0</v>
      </c>
      <c r="BB105" s="313">
        <v>0</v>
      </c>
      <c r="BC105" s="313">
        <v>0</v>
      </c>
      <c r="BD105" s="313">
        <v>0</v>
      </c>
      <c r="BE105" s="313">
        <v>0</v>
      </c>
      <c r="BF105" s="313">
        <v>0</v>
      </c>
      <c r="BH105" s="313">
        <v>0</v>
      </c>
      <c r="BL105" s="313">
        <v>0</v>
      </c>
    </row>
    <row r="106" spans="1:66">
      <c r="A106" s="313" t="s">
        <v>511</v>
      </c>
      <c r="B106" s="313">
        <v>1409.648594</v>
      </c>
      <c r="C106" s="313">
        <v>3610.005756</v>
      </c>
      <c r="D106" s="313">
        <v>4086.6791359999997</v>
      </c>
      <c r="E106" s="313">
        <v>2879.478548</v>
      </c>
      <c r="F106" s="313">
        <v>2737.9574299999999</v>
      </c>
      <c r="G106" s="313">
        <v>5192.3971510000001</v>
      </c>
      <c r="J106" s="313">
        <v>6207.7448560000003</v>
      </c>
      <c r="N106" s="313">
        <v>775.62452800000005</v>
      </c>
      <c r="O106" s="313">
        <v>782.78323399999999</v>
      </c>
      <c r="P106" s="313">
        <v>893.39532799999995</v>
      </c>
      <c r="Q106" s="313">
        <v>1040.0520730000001</v>
      </c>
      <c r="R106" s="313">
        <v>1246.3255390000002</v>
      </c>
      <c r="S106" s="313">
        <v>1247.5531900000001</v>
      </c>
      <c r="T106" s="313">
        <v>50</v>
      </c>
      <c r="U106" s="313" t="s">
        <v>844</v>
      </c>
      <c r="W106" s="313">
        <v>1358.2534519999999</v>
      </c>
      <c r="AA106" s="313">
        <v>2534.6576800000003</v>
      </c>
      <c r="AB106" s="313">
        <v>2941.7220969999998</v>
      </c>
      <c r="AC106" s="313">
        <v>4060.518767</v>
      </c>
      <c r="AD106" s="313">
        <v>5707.3821420000004</v>
      </c>
      <c r="AE106" s="313">
        <v>5712.9082850000004</v>
      </c>
      <c r="AG106" s="313">
        <v>4986.0107310000003</v>
      </c>
      <c r="AK106" s="313">
        <v>7102.9760400000005</v>
      </c>
      <c r="AO106" s="313">
        <v>2537.9461539999998</v>
      </c>
      <c r="AP106" s="313">
        <v>5078.1454840000006</v>
      </c>
      <c r="AQ106" s="313">
        <v>4974.7578810000005</v>
      </c>
      <c r="AR106" s="313">
        <v>5557.1067080000003</v>
      </c>
      <c r="AS106" s="313">
        <v>6781.699556999999</v>
      </c>
      <c r="AT106" s="313">
        <v>12005.035593000001</v>
      </c>
      <c r="AX106" s="313">
        <v>15150.126252000002</v>
      </c>
      <c r="BB106" s="313">
        <v>479.70421900000002</v>
      </c>
      <c r="BC106" s="313">
        <v>1612.1746920000001</v>
      </c>
      <c r="BD106" s="313">
        <v>777.00515999999993</v>
      </c>
      <c r="BE106" s="313">
        <v>717.97243200000003</v>
      </c>
      <c r="BF106" s="313">
        <v>1255.9715449999999</v>
      </c>
      <c r="BH106" s="313">
        <v>4465.71558</v>
      </c>
      <c r="BL106" s="313">
        <v>2853.5130480000003</v>
      </c>
    </row>
    <row r="107" spans="1:66">
      <c r="A107" s="313" t="s">
        <v>512</v>
      </c>
      <c r="B107" s="313">
        <v>0</v>
      </c>
      <c r="C107" s="313">
        <v>0</v>
      </c>
      <c r="D107" s="313">
        <v>0</v>
      </c>
      <c r="E107" s="313">
        <v>0</v>
      </c>
      <c r="F107" s="313">
        <v>0</v>
      </c>
      <c r="G107" s="313">
        <v>0</v>
      </c>
      <c r="J107" s="313">
        <v>0</v>
      </c>
      <c r="N107" s="313">
        <v>0</v>
      </c>
      <c r="O107" s="313">
        <v>0</v>
      </c>
      <c r="P107" s="313">
        <v>0</v>
      </c>
      <c r="Q107" s="313">
        <v>0</v>
      </c>
      <c r="R107" s="313">
        <v>0</v>
      </c>
      <c r="S107" s="313">
        <v>7.3999999999999996E-5</v>
      </c>
      <c r="W107" s="313">
        <v>0</v>
      </c>
      <c r="AA107" s="313">
        <v>0</v>
      </c>
      <c r="AB107" s="313">
        <v>278.62958300000003</v>
      </c>
      <c r="AC107" s="313">
        <v>0</v>
      </c>
      <c r="AD107" s="313">
        <v>0</v>
      </c>
      <c r="AE107" s="313">
        <v>0</v>
      </c>
      <c r="AG107" s="313">
        <v>0</v>
      </c>
      <c r="AK107" s="313">
        <v>0</v>
      </c>
      <c r="AO107" s="313">
        <v>0</v>
      </c>
      <c r="AP107" s="313">
        <v>294.72044399999999</v>
      </c>
      <c r="AQ107" s="313">
        <v>104.247866</v>
      </c>
      <c r="AR107" s="313">
        <v>32.897389000000004</v>
      </c>
      <c r="AS107" s="313">
        <v>19.265248</v>
      </c>
      <c r="AT107" s="313">
        <v>35.091369999999998</v>
      </c>
      <c r="AU107" s="313">
        <v>35.091369999999998</v>
      </c>
      <c r="AV107" s="313" t="s">
        <v>845</v>
      </c>
      <c r="AX107" s="313">
        <v>0</v>
      </c>
      <c r="BB107" s="313">
        <v>0</v>
      </c>
      <c r="BC107" s="313">
        <v>226.90458199999998</v>
      </c>
      <c r="BD107" s="313">
        <v>220.88394500000001</v>
      </c>
      <c r="BE107" s="313">
        <v>0</v>
      </c>
      <c r="BF107" s="313">
        <v>0</v>
      </c>
      <c r="BH107" s="313">
        <v>0</v>
      </c>
      <c r="BL107" s="313">
        <v>0</v>
      </c>
    </row>
    <row r="108" spans="1:66">
      <c r="A108" s="313" t="s">
        <v>513</v>
      </c>
      <c r="B108" s="313">
        <v>0</v>
      </c>
      <c r="C108" s="313">
        <v>0</v>
      </c>
      <c r="D108" s="313">
        <v>0</v>
      </c>
      <c r="E108" s="313">
        <v>0</v>
      </c>
      <c r="F108" s="313">
        <v>0</v>
      </c>
      <c r="G108" s="313">
        <v>91.978375999999997</v>
      </c>
      <c r="H108" s="313">
        <v>91.978375999999997</v>
      </c>
      <c r="J108" s="313">
        <v>0</v>
      </c>
      <c r="K108" s="313">
        <v>0</v>
      </c>
      <c r="N108" s="313">
        <v>0</v>
      </c>
      <c r="O108" s="313">
        <v>0</v>
      </c>
      <c r="P108" s="313">
        <v>0</v>
      </c>
      <c r="Q108" s="313">
        <v>0</v>
      </c>
      <c r="R108" s="313">
        <v>0</v>
      </c>
      <c r="S108" s="313">
        <v>0</v>
      </c>
      <c r="W108" s="313">
        <v>0</v>
      </c>
      <c r="AA108" s="313">
        <v>0</v>
      </c>
      <c r="AB108" s="313">
        <v>0</v>
      </c>
      <c r="AC108" s="313">
        <v>0</v>
      </c>
      <c r="AD108" s="313">
        <v>0</v>
      </c>
      <c r="AE108" s="313">
        <v>0</v>
      </c>
      <c r="AG108" s="313">
        <v>0</v>
      </c>
      <c r="AK108" s="313">
        <v>0</v>
      </c>
      <c r="AO108" s="313">
        <v>0</v>
      </c>
      <c r="AP108" s="313">
        <v>0</v>
      </c>
      <c r="AQ108" s="313">
        <v>0</v>
      </c>
      <c r="AR108" s="313">
        <v>0</v>
      </c>
      <c r="AS108" s="313">
        <v>0</v>
      </c>
      <c r="AT108" s="313">
        <v>0</v>
      </c>
      <c r="AX108" s="313">
        <v>0</v>
      </c>
      <c r="BB108" s="313">
        <v>0</v>
      </c>
      <c r="BC108" s="313">
        <v>0</v>
      </c>
      <c r="BD108" s="313">
        <v>0</v>
      </c>
      <c r="BE108" s="313">
        <v>0</v>
      </c>
      <c r="BF108" s="313">
        <v>0</v>
      </c>
      <c r="BH108" s="313">
        <v>0</v>
      </c>
      <c r="BL108" s="313">
        <v>0</v>
      </c>
    </row>
    <row r="109" spans="1:66">
      <c r="A109" s="313" t="s">
        <v>514</v>
      </c>
      <c r="B109" s="313">
        <v>1409.648594</v>
      </c>
      <c r="C109" s="313">
        <v>3610.005756</v>
      </c>
      <c r="D109" s="313">
        <v>4086.6791359999997</v>
      </c>
      <c r="E109" s="313">
        <v>2879.478548</v>
      </c>
      <c r="F109" s="313">
        <v>2737.9574299999999</v>
      </c>
      <c r="G109" s="313">
        <v>5100.4187750000001</v>
      </c>
      <c r="H109" s="313">
        <v>1557</v>
      </c>
      <c r="I109" s="313" t="s">
        <v>846</v>
      </c>
      <c r="J109" s="313">
        <v>0</v>
      </c>
      <c r="N109" s="313">
        <v>775.62452800000005</v>
      </c>
      <c r="O109" s="313">
        <v>782.78323399999999</v>
      </c>
      <c r="P109" s="313">
        <v>893.39532799999995</v>
      </c>
      <c r="Q109" s="313">
        <v>1040.0520730000001</v>
      </c>
      <c r="R109" s="313">
        <v>1246.3255390000002</v>
      </c>
      <c r="S109" s="313">
        <v>1247.553116</v>
      </c>
      <c r="W109" s="313">
        <v>0</v>
      </c>
      <c r="AA109" s="313">
        <v>2534.6576800000003</v>
      </c>
      <c r="AB109" s="313">
        <v>2663.0925139999999</v>
      </c>
      <c r="AC109" s="313">
        <v>4060.518767</v>
      </c>
      <c r="AD109" s="313">
        <v>5707.3821420000004</v>
      </c>
      <c r="AE109" s="313">
        <v>5712.9082850000004</v>
      </c>
      <c r="AG109" s="313">
        <v>4986.0107310000003</v>
      </c>
      <c r="AK109" s="313">
        <v>0</v>
      </c>
      <c r="AO109" s="313">
        <v>2537.9461539999998</v>
      </c>
      <c r="AP109" s="313">
        <v>4783.4250400000001</v>
      </c>
      <c r="AQ109" s="313">
        <v>4870.5100149999998</v>
      </c>
      <c r="AR109" s="313">
        <v>5524.2093189999996</v>
      </c>
      <c r="AS109" s="313">
        <v>6762.4343090000002</v>
      </c>
      <c r="AT109" s="313">
        <v>11969.944223</v>
      </c>
      <c r="AU109" s="313">
        <v>2247.6732200000001</v>
      </c>
      <c r="AV109" s="313" t="s">
        <v>847</v>
      </c>
      <c r="AX109" s="313">
        <v>0</v>
      </c>
      <c r="AY109" s="313">
        <v>3840.7000200000002</v>
      </c>
      <c r="BB109" s="313">
        <v>479.70421900000002</v>
      </c>
      <c r="BC109" s="313">
        <v>1385.2701099999999</v>
      </c>
      <c r="BD109" s="313">
        <v>556.12121500000001</v>
      </c>
      <c r="BE109" s="313">
        <v>717.97243200000003</v>
      </c>
      <c r="BF109" s="313">
        <v>1255.9715449999999</v>
      </c>
      <c r="BH109" s="313">
        <v>4465.71558</v>
      </c>
      <c r="BI109" s="313">
        <v>2962.08</v>
      </c>
      <c r="BJ109" s="313" t="s">
        <v>848</v>
      </c>
      <c r="BL109" s="313">
        <v>0</v>
      </c>
      <c r="BM109" s="313">
        <v>1107.5791999999999</v>
      </c>
      <c r="BN109" s="313" t="s">
        <v>848</v>
      </c>
    </row>
    <row r="110" spans="1:66">
      <c r="A110" s="313" t="s">
        <v>515</v>
      </c>
      <c r="B110" s="313">
        <v>0</v>
      </c>
      <c r="C110" s="313">
        <v>0</v>
      </c>
      <c r="D110" s="313">
        <v>0</v>
      </c>
      <c r="E110" s="313">
        <v>0</v>
      </c>
      <c r="F110" s="313">
        <v>0</v>
      </c>
      <c r="G110" s="313">
        <v>0</v>
      </c>
      <c r="J110" s="313">
        <v>0</v>
      </c>
      <c r="N110" s="313">
        <v>0</v>
      </c>
      <c r="O110" s="313">
        <v>0</v>
      </c>
      <c r="P110" s="313">
        <v>0</v>
      </c>
      <c r="Q110" s="313">
        <v>0</v>
      </c>
      <c r="R110" s="313">
        <v>0</v>
      </c>
      <c r="S110" s="313">
        <v>0</v>
      </c>
      <c r="W110" s="313">
        <v>0</v>
      </c>
      <c r="AA110" s="313">
        <v>0</v>
      </c>
      <c r="AB110" s="313">
        <v>0</v>
      </c>
      <c r="AC110" s="313">
        <v>0</v>
      </c>
      <c r="AD110" s="313">
        <v>0</v>
      </c>
      <c r="AE110" s="313">
        <v>0</v>
      </c>
      <c r="AG110" s="313">
        <v>0</v>
      </c>
      <c r="AK110" s="313">
        <v>0</v>
      </c>
      <c r="AO110" s="313">
        <v>0</v>
      </c>
      <c r="AP110" s="313">
        <v>0</v>
      </c>
      <c r="AQ110" s="313">
        <v>0</v>
      </c>
      <c r="AR110" s="313">
        <v>0</v>
      </c>
      <c r="AS110" s="313">
        <v>0</v>
      </c>
      <c r="AT110" s="313">
        <v>0</v>
      </c>
      <c r="AX110" s="313">
        <v>0</v>
      </c>
      <c r="BB110" s="313">
        <v>0</v>
      </c>
      <c r="BC110" s="313">
        <v>0</v>
      </c>
      <c r="BD110" s="313">
        <v>0</v>
      </c>
      <c r="BE110" s="313">
        <v>0</v>
      </c>
      <c r="BF110" s="313">
        <v>0</v>
      </c>
      <c r="BH110" s="313">
        <v>0</v>
      </c>
      <c r="BL110" s="313">
        <v>0</v>
      </c>
    </row>
    <row r="111" spans="1:66">
      <c r="A111" s="313" t="s">
        <v>516</v>
      </c>
      <c r="B111" s="313">
        <v>0</v>
      </c>
      <c r="C111" s="313">
        <v>0</v>
      </c>
      <c r="D111" s="313">
        <v>0</v>
      </c>
      <c r="E111" s="313">
        <v>0</v>
      </c>
      <c r="F111" s="313">
        <v>0</v>
      </c>
      <c r="G111" s="313">
        <v>71.914377999999999</v>
      </c>
      <c r="J111" s="313">
        <v>425.03664900000001</v>
      </c>
      <c r="N111" s="313">
        <v>0</v>
      </c>
      <c r="O111" s="313">
        <v>0</v>
      </c>
      <c r="P111" s="313">
        <v>0</v>
      </c>
      <c r="Q111" s="313">
        <v>0</v>
      </c>
      <c r="R111" s="313">
        <v>0</v>
      </c>
      <c r="S111" s="313">
        <v>4441.0059620000002</v>
      </c>
      <c r="W111" s="313">
        <v>5572.0494659999995</v>
      </c>
      <c r="AA111" s="313">
        <v>0</v>
      </c>
      <c r="AB111" s="313">
        <v>0</v>
      </c>
      <c r="AC111" s="313">
        <v>0</v>
      </c>
      <c r="AD111" s="313">
        <v>0</v>
      </c>
      <c r="AE111" s="313">
        <v>0</v>
      </c>
      <c r="AG111" s="313">
        <v>2858.0287039999998</v>
      </c>
      <c r="AK111" s="313">
        <v>3220.6870749999998</v>
      </c>
      <c r="AO111" s="313">
        <v>0</v>
      </c>
      <c r="AP111" s="313">
        <v>0</v>
      </c>
      <c r="AQ111" s="313">
        <v>0</v>
      </c>
      <c r="AR111" s="313">
        <v>0</v>
      </c>
      <c r="AS111" s="313">
        <v>0</v>
      </c>
      <c r="AT111" s="313">
        <v>38918.042888999997</v>
      </c>
      <c r="AX111" s="313">
        <v>44507.479719000003</v>
      </c>
      <c r="BB111" s="313">
        <v>0</v>
      </c>
      <c r="BC111" s="313">
        <v>0</v>
      </c>
      <c r="BD111" s="313">
        <v>0</v>
      </c>
      <c r="BE111" s="313">
        <v>0</v>
      </c>
      <c r="BF111" s="313">
        <v>0</v>
      </c>
      <c r="BH111" s="313">
        <v>663.82243800000003</v>
      </c>
      <c r="BL111" s="313">
        <v>563.90823</v>
      </c>
    </row>
    <row r="112" spans="1:66">
      <c r="A112" s="313" t="s">
        <v>517</v>
      </c>
      <c r="B112" s="313">
        <v>3639.5268049999995</v>
      </c>
      <c r="C112" s="313">
        <v>3990.4234049999995</v>
      </c>
      <c r="D112" s="313">
        <v>15262.521881000001</v>
      </c>
      <c r="E112" s="313">
        <v>14685.549288999999</v>
      </c>
      <c r="F112" s="313">
        <v>11593.078668</v>
      </c>
      <c r="G112" s="313">
        <v>19157.542078999999</v>
      </c>
      <c r="J112" s="313">
        <v>36502.264129000003</v>
      </c>
      <c r="N112" s="313">
        <v>20277.794647999999</v>
      </c>
      <c r="O112" s="313">
        <v>17987.029747999997</v>
      </c>
      <c r="P112" s="313">
        <v>16773.400978999998</v>
      </c>
      <c r="Q112" s="313">
        <v>19173.522293999999</v>
      </c>
      <c r="R112" s="313">
        <v>20095.405675000002</v>
      </c>
      <c r="S112" s="313">
        <v>29240.440620999998</v>
      </c>
      <c r="W112" s="313">
        <v>37284.709351999998</v>
      </c>
      <c r="AA112" s="313">
        <v>41898.644820999994</v>
      </c>
      <c r="AB112" s="313">
        <v>59170.404462999999</v>
      </c>
      <c r="AC112" s="313">
        <v>53628.482421000001</v>
      </c>
      <c r="AD112" s="313">
        <v>86271.694443</v>
      </c>
      <c r="AE112" s="313">
        <v>121398.91438199999</v>
      </c>
      <c r="AG112" s="313">
        <v>174194.29223299999</v>
      </c>
      <c r="AK112" s="313">
        <v>157827.86471600001</v>
      </c>
      <c r="AO112" s="313">
        <v>10383.986497</v>
      </c>
      <c r="AP112" s="313">
        <v>12503.900731</v>
      </c>
      <c r="AQ112" s="313">
        <v>17243.224982</v>
      </c>
      <c r="AR112" s="313">
        <v>20630.271788999999</v>
      </c>
      <c r="AS112" s="313">
        <v>34494.286670999994</v>
      </c>
      <c r="AT112" s="313">
        <v>49758.464339999999</v>
      </c>
      <c r="AX112" s="313">
        <v>87428.334992999997</v>
      </c>
      <c r="BB112" s="313">
        <v>106.49847</v>
      </c>
      <c r="BC112" s="313">
        <v>1607.9020039999998</v>
      </c>
      <c r="BD112" s="313">
        <v>3324.8823399999997</v>
      </c>
      <c r="BE112" s="313">
        <v>3857.7722600000002</v>
      </c>
      <c r="BF112" s="313">
        <v>2661.54801</v>
      </c>
      <c r="BH112" s="313">
        <v>8336.6869810000007</v>
      </c>
      <c r="BL112" s="313">
        <v>9216.2023470000004</v>
      </c>
    </row>
    <row r="113" spans="1:66">
      <c r="A113" s="313" t="s">
        <v>518</v>
      </c>
      <c r="B113" s="313">
        <v>0</v>
      </c>
      <c r="C113" s="313">
        <v>0</v>
      </c>
      <c r="D113" s="313">
        <v>0</v>
      </c>
      <c r="E113" s="313">
        <v>0</v>
      </c>
      <c r="F113" s="313">
        <v>0</v>
      </c>
      <c r="G113" s="313">
        <v>0</v>
      </c>
      <c r="J113" s="313">
        <v>0</v>
      </c>
      <c r="N113" s="313">
        <v>0</v>
      </c>
      <c r="O113" s="313">
        <v>0</v>
      </c>
      <c r="P113" s="313">
        <v>0</v>
      </c>
      <c r="Q113" s="313">
        <v>0</v>
      </c>
      <c r="R113" s="313">
        <v>0</v>
      </c>
      <c r="S113" s="313">
        <v>0</v>
      </c>
      <c r="W113" s="313">
        <v>0</v>
      </c>
      <c r="AA113" s="313">
        <v>0</v>
      </c>
      <c r="AB113" s="313">
        <v>0</v>
      </c>
      <c r="AC113" s="313">
        <v>0</v>
      </c>
      <c r="AD113" s="313">
        <v>0</v>
      </c>
      <c r="AE113" s="313">
        <v>0</v>
      </c>
      <c r="AG113" s="313">
        <v>0</v>
      </c>
      <c r="AK113" s="313">
        <v>0</v>
      </c>
      <c r="AO113" s="313">
        <v>0</v>
      </c>
      <c r="AP113" s="313">
        <v>0</v>
      </c>
      <c r="AQ113" s="313">
        <v>0</v>
      </c>
      <c r="AR113" s="313">
        <v>0</v>
      </c>
      <c r="AS113" s="313">
        <v>0</v>
      </c>
      <c r="AT113" s="313">
        <v>0</v>
      </c>
      <c r="AX113" s="313">
        <v>0</v>
      </c>
      <c r="BB113" s="313">
        <v>0</v>
      </c>
      <c r="BC113" s="313">
        <v>0</v>
      </c>
      <c r="BD113" s="313">
        <v>0</v>
      </c>
      <c r="BE113" s="313">
        <v>0</v>
      </c>
      <c r="BF113" s="313">
        <v>0</v>
      </c>
      <c r="BH113" s="313">
        <v>0</v>
      </c>
      <c r="BL113" s="313">
        <v>0</v>
      </c>
    </row>
    <row r="114" spans="1:66">
      <c r="A114" s="313" t="s">
        <v>519</v>
      </c>
      <c r="B114" s="313">
        <v>0</v>
      </c>
      <c r="C114" s="313">
        <v>0</v>
      </c>
      <c r="D114" s="313">
        <v>0</v>
      </c>
      <c r="E114" s="313">
        <v>0</v>
      </c>
      <c r="F114" s="313">
        <v>6662.098508</v>
      </c>
      <c r="G114" s="313">
        <v>9417.2164969999994</v>
      </c>
      <c r="H114" s="313">
        <v>9417.2164969999994</v>
      </c>
      <c r="I114" s="313" t="s">
        <v>849</v>
      </c>
      <c r="J114" s="313">
        <v>9475.0066470000002</v>
      </c>
      <c r="K114" s="313">
        <v>9475.0066470000002</v>
      </c>
      <c r="L114" s="313" t="s">
        <v>849</v>
      </c>
      <c r="N114" s="313">
        <v>6.0704039999999999</v>
      </c>
      <c r="O114" s="313">
        <v>71.636341000000002</v>
      </c>
      <c r="P114" s="313">
        <v>0</v>
      </c>
      <c r="Q114" s="313">
        <v>0</v>
      </c>
      <c r="R114" s="313">
        <v>0</v>
      </c>
      <c r="S114" s="313">
        <v>0</v>
      </c>
      <c r="W114" s="313">
        <v>0</v>
      </c>
      <c r="AA114" s="313">
        <v>0</v>
      </c>
      <c r="AB114" s="313">
        <v>0</v>
      </c>
      <c r="AC114" s="313">
        <v>0</v>
      </c>
      <c r="AD114" s="313">
        <v>0</v>
      </c>
      <c r="AE114" s="313">
        <v>0</v>
      </c>
      <c r="AG114" s="313">
        <v>0</v>
      </c>
      <c r="AK114" s="313">
        <v>0</v>
      </c>
      <c r="AO114" s="313">
        <v>0</v>
      </c>
      <c r="AP114" s="313">
        <v>0</v>
      </c>
      <c r="AQ114" s="313">
        <v>0</v>
      </c>
      <c r="AR114" s="313">
        <v>0</v>
      </c>
      <c r="AS114" s="313">
        <v>0</v>
      </c>
      <c r="AT114" s="313">
        <v>0</v>
      </c>
      <c r="AX114" s="313">
        <v>0</v>
      </c>
      <c r="BB114" s="313">
        <v>1.9722279999999999</v>
      </c>
      <c r="BC114" s="313">
        <v>20.785803000000001</v>
      </c>
      <c r="BD114" s="313">
        <v>0</v>
      </c>
      <c r="BE114" s="313">
        <v>0</v>
      </c>
      <c r="BF114" s="313">
        <v>0</v>
      </c>
      <c r="BH114" s="313">
        <v>0</v>
      </c>
      <c r="BL114" s="313">
        <v>0</v>
      </c>
    </row>
    <row r="115" spans="1:66">
      <c r="A115" s="313" t="s">
        <v>520</v>
      </c>
      <c r="B115" s="313">
        <v>478.96121299999999</v>
      </c>
      <c r="C115" s="313">
        <v>3294.7360060000001</v>
      </c>
      <c r="D115" s="313">
        <v>2160.5412300000003</v>
      </c>
      <c r="E115" s="313">
        <v>2586.529587</v>
      </c>
      <c r="F115" s="313">
        <v>3556.3942259999999</v>
      </c>
      <c r="G115" s="313">
        <v>4296.6282770000007</v>
      </c>
      <c r="H115" s="313">
        <v>4296.6282770000007</v>
      </c>
      <c r="I115" s="313" t="s">
        <v>850</v>
      </c>
      <c r="J115" s="313">
        <v>5999.9799899999998</v>
      </c>
      <c r="K115" s="313">
        <v>5999.9799899999998</v>
      </c>
      <c r="L115" s="313" t="s">
        <v>850</v>
      </c>
      <c r="N115" s="313">
        <v>392.85369500000002</v>
      </c>
      <c r="O115" s="313">
        <v>646.36487399999999</v>
      </c>
      <c r="P115" s="313">
        <v>7388.953884999999</v>
      </c>
      <c r="Q115" s="313">
        <v>2444.5770309999998</v>
      </c>
      <c r="R115" s="313">
        <v>630.14293099999998</v>
      </c>
      <c r="S115" s="313">
        <v>1566.08475</v>
      </c>
      <c r="T115" s="313">
        <v>1382.1785109999998</v>
      </c>
      <c r="U115" s="313" t="s">
        <v>851</v>
      </c>
      <c r="W115" s="313">
        <v>1354.5793140000001</v>
      </c>
      <c r="X115" s="313">
        <v>1139.329866</v>
      </c>
      <c r="Y115" s="313" t="s">
        <v>851</v>
      </c>
      <c r="AA115" s="313">
        <v>0</v>
      </c>
      <c r="AB115" s="313">
        <v>26309.833004</v>
      </c>
      <c r="AC115" s="313">
        <v>402.83524199999999</v>
      </c>
      <c r="AD115" s="313">
        <v>1339.618125</v>
      </c>
      <c r="AE115" s="313">
        <v>1834.4445260000002</v>
      </c>
      <c r="AG115" s="313">
        <v>8141.7472659999994</v>
      </c>
      <c r="AH115" s="313">
        <v>8141.7472659999994</v>
      </c>
      <c r="AI115" s="313" t="s">
        <v>852</v>
      </c>
      <c r="AK115" s="313">
        <v>5193.9023500000003</v>
      </c>
      <c r="AL115" s="313">
        <v>5193.9023500000003</v>
      </c>
      <c r="AM115" s="313" t="s">
        <v>852</v>
      </c>
      <c r="AO115" s="313">
        <v>1103.7241609999999</v>
      </c>
      <c r="AP115" s="313">
        <v>145521.21559899999</v>
      </c>
      <c r="AQ115" s="313">
        <v>65023.248725999998</v>
      </c>
      <c r="AR115" s="313">
        <v>8087.5487980000007</v>
      </c>
      <c r="AS115" s="313">
        <v>203.69472199999998</v>
      </c>
      <c r="AT115" s="313">
        <v>13242.571535999999</v>
      </c>
      <c r="AU115" s="313">
        <v>13242.571535999999</v>
      </c>
      <c r="AV115" s="313" t="s">
        <v>853</v>
      </c>
      <c r="AX115" s="313">
        <v>12534.651313</v>
      </c>
      <c r="AY115" s="313">
        <v>12534.651313</v>
      </c>
      <c r="AZ115" s="313" t="s">
        <v>853</v>
      </c>
      <c r="BB115" s="313">
        <v>0</v>
      </c>
      <c r="BC115" s="313">
        <v>3.6223999999999999E-2</v>
      </c>
      <c r="BD115" s="313">
        <v>4.0890559999999994</v>
      </c>
      <c r="BE115" s="313">
        <v>4.0851190000000006</v>
      </c>
      <c r="BF115" s="313">
        <v>6.6159509999999999</v>
      </c>
      <c r="BH115" s="313">
        <v>132.23355800000002</v>
      </c>
      <c r="BI115" s="313">
        <v>132.23355800000002</v>
      </c>
      <c r="BJ115" s="313" t="s">
        <v>852</v>
      </c>
      <c r="BL115" s="313">
        <v>1072.502825</v>
      </c>
      <c r="BM115" s="313">
        <v>1072.502825</v>
      </c>
      <c r="BN115" s="313" t="s">
        <v>852</v>
      </c>
    </row>
    <row r="116" spans="1:66">
      <c r="A116" s="313" t="s">
        <v>521</v>
      </c>
      <c r="B116" s="313">
        <v>0</v>
      </c>
      <c r="C116" s="313">
        <v>0</v>
      </c>
      <c r="D116" s="313">
        <v>0</v>
      </c>
      <c r="E116" s="313">
        <v>0</v>
      </c>
      <c r="F116" s="313">
        <v>0</v>
      </c>
      <c r="G116" s="313">
        <v>0</v>
      </c>
      <c r="J116" s="313">
        <v>0</v>
      </c>
      <c r="N116" s="313">
        <v>0</v>
      </c>
      <c r="O116" s="313">
        <v>0</v>
      </c>
      <c r="P116" s="313">
        <v>0</v>
      </c>
      <c r="Q116" s="313">
        <v>0</v>
      </c>
      <c r="R116" s="313">
        <v>0</v>
      </c>
      <c r="S116" s="313">
        <v>0</v>
      </c>
      <c r="W116" s="313">
        <v>0</v>
      </c>
      <c r="AA116" s="313">
        <v>0</v>
      </c>
      <c r="AB116" s="313">
        <v>0</v>
      </c>
      <c r="AC116" s="313">
        <v>0</v>
      </c>
      <c r="AD116" s="313">
        <v>0</v>
      </c>
      <c r="AE116" s="313">
        <v>0</v>
      </c>
      <c r="AG116" s="313">
        <v>0</v>
      </c>
      <c r="AK116" s="313">
        <v>0</v>
      </c>
      <c r="AO116" s="313">
        <v>0</v>
      </c>
      <c r="AP116" s="313">
        <v>0</v>
      </c>
      <c r="AQ116" s="313">
        <v>0</v>
      </c>
      <c r="AR116" s="313">
        <v>0</v>
      </c>
      <c r="AS116" s="313">
        <v>0</v>
      </c>
      <c r="AT116" s="313">
        <v>0</v>
      </c>
      <c r="AX116" s="313">
        <v>0</v>
      </c>
      <c r="BB116" s="313">
        <v>0</v>
      </c>
      <c r="BC116" s="313">
        <v>0</v>
      </c>
      <c r="BD116" s="313">
        <v>0</v>
      </c>
      <c r="BE116" s="313">
        <v>0</v>
      </c>
      <c r="BF116" s="313">
        <v>0</v>
      </c>
      <c r="BH116" s="313">
        <v>0</v>
      </c>
      <c r="BL116" s="313">
        <v>0</v>
      </c>
    </row>
    <row r="117" spans="1:66">
      <c r="A117" s="313" t="s">
        <v>522</v>
      </c>
      <c r="B117" s="313">
        <v>0</v>
      </c>
      <c r="C117" s="313">
        <v>0</v>
      </c>
      <c r="D117" s="313">
        <v>0</v>
      </c>
      <c r="E117" s="313">
        <v>0</v>
      </c>
      <c r="F117" s="313">
        <v>0</v>
      </c>
      <c r="G117" s="313">
        <v>0</v>
      </c>
      <c r="J117" s="313">
        <v>0</v>
      </c>
      <c r="N117" s="313">
        <v>0</v>
      </c>
      <c r="O117" s="313">
        <v>0</v>
      </c>
      <c r="P117" s="313">
        <v>0</v>
      </c>
      <c r="Q117" s="313">
        <v>0</v>
      </c>
      <c r="R117" s="313">
        <v>0</v>
      </c>
      <c r="S117" s="313">
        <v>0</v>
      </c>
      <c r="W117" s="313">
        <v>0</v>
      </c>
      <c r="AA117" s="313">
        <v>0</v>
      </c>
      <c r="AB117" s="313">
        <v>0</v>
      </c>
      <c r="AC117" s="313">
        <v>0</v>
      </c>
      <c r="AD117" s="313">
        <v>0</v>
      </c>
      <c r="AE117" s="313">
        <v>0</v>
      </c>
      <c r="AG117" s="313">
        <v>0</v>
      </c>
      <c r="AK117" s="313">
        <v>0</v>
      </c>
      <c r="AO117" s="313">
        <v>0</v>
      </c>
      <c r="AP117" s="313">
        <v>0</v>
      </c>
      <c r="AQ117" s="313">
        <v>0</v>
      </c>
      <c r="AR117" s="313">
        <v>0</v>
      </c>
      <c r="AS117" s="313">
        <v>0</v>
      </c>
      <c r="AT117" s="313">
        <v>0</v>
      </c>
      <c r="AX117" s="313">
        <v>0</v>
      </c>
      <c r="BB117" s="313">
        <v>0</v>
      </c>
      <c r="BC117" s="313">
        <v>0</v>
      </c>
      <c r="BD117" s="313">
        <v>0</v>
      </c>
      <c r="BE117" s="313">
        <v>0</v>
      </c>
      <c r="BF117" s="313">
        <v>0</v>
      </c>
      <c r="BH117" s="313">
        <v>0</v>
      </c>
      <c r="BL117" s="313">
        <v>0</v>
      </c>
    </row>
    <row r="118" spans="1:66">
      <c r="A118" s="333" t="s">
        <v>523</v>
      </c>
      <c r="B118" s="333">
        <v>39856.335462000003</v>
      </c>
      <c r="C118" s="333">
        <v>92502.446093999999</v>
      </c>
      <c r="D118" s="333">
        <v>111067.23672</v>
      </c>
      <c r="E118" s="333">
        <v>115390.533119</v>
      </c>
      <c r="F118" s="333">
        <v>149459.07987700001</v>
      </c>
      <c r="G118" s="333">
        <v>155607.206565</v>
      </c>
      <c r="H118" s="333">
        <v>15362.82315</v>
      </c>
      <c r="I118" s="333"/>
      <c r="J118" s="333">
        <v>186688.909858</v>
      </c>
      <c r="K118" s="333">
        <v>15474.986637</v>
      </c>
      <c r="L118" s="333"/>
      <c r="M118" s="333"/>
      <c r="N118" s="333">
        <v>63666.823935</v>
      </c>
      <c r="O118" s="333">
        <v>71258.262874000007</v>
      </c>
      <c r="P118" s="333">
        <v>89223.980620000002</v>
      </c>
      <c r="Q118" s="333">
        <v>103684.173473</v>
      </c>
      <c r="R118" s="333">
        <v>105869.700772</v>
      </c>
      <c r="S118" s="333">
        <v>109937.82859100001</v>
      </c>
      <c r="T118" s="333">
        <v>1432.1785109999998</v>
      </c>
      <c r="U118" s="333"/>
      <c r="V118" s="333"/>
      <c r="W118" s="333">
        <v>111684.01511800001</v>
      </c>
      <c r="X118" s="333">
        <v>1139.329866</v>
      </c>
      <c r="Y118" s="333"/>
      <c r="Z118" s="333"/>
      <c r="AA118" s="333">
        <v>162259.13540599999</v>
      </c>
      <c r="AB118" s="333">
        <v>223905.979689</v>
      </c>
      <c r="AC118" s="333">
        <v>246484.18247699999</v>
      </c>
      <c r="AD118" s="333">
        <v>298731.83293199999</v>
      </c>
      <c r="AE118" s="333">
        <v>394289.00825100002</v>
      </c>
      <c r="AF118" s="333"/>
      <c r="AG118" s="333">
        <v>421827.82262699999</v>
      </c>
      <c r="AH118" s="333">
        <v>8141.7472659999994</v>
      </c>
      <c r="AI118" s="333"/>
      <c r="AJ118" s="333"/>
      <c r="AK118" s="333">
        <v>379506.690733</v>
      </c>
      <c r="AL118" s="333">
        <v>5193.9023500000003</v>
      </c>
      <c r="AM118" s="333"/>
      <c r="AN118" s="333"/>
      <c r="AO118" s="333">
        <v>132625.15005</v>
      </c>
      <c r="AP118" s="333">
        <v>316608.86086399999</v>
      </c>
      <c r="AQ118" s="333">
        <v>305490.18911899999</v>
      </c>
      <c r="AR118" s="333">
        <v>328285.10133800004</v>
      </c>
      <c r="AS118" s="333">
        <v>333980.79133099999</v>
      </c>
      <c r="AT118" s="333">
        <v>364223.60571500001</v>
      </c>
      <c r="AU118" s="333">
        <v>17425.336126000002</v>
      </c>
      <c r="AV118" s="333"/>
      <c r="AW118" s="333"/>
      <c r="AX118" s="333">
        <v>416426.57263100002</v>
      </c>
      <c r="AY118" s="333">
        <v>45975.351333000006</v>
      </c>
      <c r="AZ118" s="333"/>
      <c r="BA118" s="333"/>
      <c r="BB118" s="333">
        <v>45187.190170000002</v>
      </c>
      <c r="BC118" s="333">
        <v>101409.634655</v>
      </c>
      <c r="BD118" s="333">
        <v>94983.816842</v>
      </c>
      <c r="BE118" s="333">
        <v>77186.80236799999</v>
      </c>
      <c r="BF118" s="333">
        <v>86185.325603999998</v>
      </c>
      <c r="BG118" s="333"/>
      <c r="BH118" s="333">
        <v>105754.167589</v>
      </c>
      <c r="BI118" s="333">
        <v>3094.3135579999998</v>
      </c>
      <c r="BJ118" s="333"/>
      <c r="BK118" s="333"/>
      <c r="BL118" s="333">
        <v>83699.239413000003</v>
      </c>
      <c r="BM118" s="333">
        <v>2180.0820249999997</v>
      </c>
      <c r="BN118" s="333"/>
    </row>
    <row r="119" spans="1:66">
      <c r="A119" s="333" t="s">
        <v>117</v>
      </c>
      <c r="B119" s="333"/>
      <c r="C119" s="333"/>
      <c r="D119" s="333"/>
      <c r="E119" s="333"/>
      <c r="F119" s="333"/>
      <c r="G119" s="333"/>
      <c r="H119" s="333"/>
      <c r="I119" s="333"/>
      <c r="J119" s="333"/>
      <c r="K119" s="333"/>
      <c r="L119" s="333"/>
      <c r="M119" s="333"/>
      <c r="N119" s="333"/>
      <c r="O119" s="333"/>
      <c r="P119" s="333"/>
      <c r="Q119" s="333"/>
      <c r="R119" s="333"/>
      <c r="S119" s="333"/>
      <c r="T119" s="333"/>
      <c r="U119" s="333"/>
      <c r="V119" s="333"/>
      <c r="W119" s="333"/>
      <c r="X119" s="333"/>
      <c r="Y119" s="333"/>
      <c r="Z119" s="333"/>
      <c r="AA119" s="333"/>
      <c r="AB119" s="333"/>
      <c r="AC119" s="333"/>
      <c r="AD119" s="333"/>
      <c r="AE119" s="333"/>
      <c r="AF119" s="333"/>
      <c r="AG119" s="333"/>
      <c r="AH119" s="333"/>
      <c r="AI119" s="333"/>
      <c r="AJ119" s="333"/>
      <c r="AK119" s="333"/>
      <c r="AL119" s="333"/>
      <c r="AM119" s="333"/>
      <c r="AN119" s="333"/>
      <c r="AO119" s="333"/>
      <c r="AP119" s="333"/>
      <c r="AQ119" s="333"/>
      <c r="AR119" s="333"/>
      <c r="AS119" s="333"/>
      <c r="AT119" s="333"/>
      <c r="AU119" s="333"/>
      <c r="AV119" s="333"/>
      <c r="AW119" s="333"/>
      <c r="AX119" s="333"/>
      <c r="AY119" s="333"/>
      <c r="AZ119" s="333"/>
      <c r="BA119" s="333"/>
      <c r="BB119" s="333"/>
      <c r="BC119" s="333"/>
      <c r="BD119" s="333"/>
      <c r="BE119" s="333"/>
      <c r="BF119" s="333"/>
      <c r="BG119" s="333"/>
      <c r="BH119" s="333"/>
      <c r="BI119" s="333"/>
      <c r="BJ119" s="333"/>
      <c r="BK119" s="333"/>
      <c r="BL119" s="333"/>
      <c r="BM119" s="333"/>
      <c r="BN119" s="333"/>
    </row>
    <row r="120" spans="1:66">
      <c r="A120" s="313" t="s">
        <v>524</v>
      </c>
      <c r="B120" s="313">
        <v>0</v>
      </c>
      <c r="C120" s="313">
        <v>0</v>
      </c>
      <c r="D120" s="313">
        <v>0</v>
      </c>
      <c r="E120" s="313">
        <v>0</v>
      </c>
      <c r="F120" s="313">
        <v>0</v>
      </c>
      <c r="G120" s="313">
        <v>0</v>
      </c>
      <c r="J120" s="313">
        <v>0</v>
      </c>
      <c r="N120" s="313">
        <v>0</v>
      </c>
      <c r="O120" s="313">
        <v>0</v>
      </c>
      <c r="P120" s="313">
        <v>0</v>
      </c>
      <c r="Q120" s="313">
        <v>0</v>
      </c>
      <c r="R120" s="313">
        <v>0</v>
      </c>
      <c r="S120" s="313">
        <v>0</v>
      </c>
      <c r="W120" s="313">
        <v>0</v>
      </c>
      <c r="AA120" s="313">
        <v>0</v>
      </c>
      <c r="AB120" s="313">
        <v>0</v>
      </c>
      <c r="AC120" s="313">
        <v>0</v>
      </c>
      <c r="AD120" s="313">
        <v>0</v>
      </c>
      <c r="AE120" s="313">
        <v>0</v>
      </c>
      <c r="AG120" s="313">
        <v>0</v>
      </c>
      <c r="AK120" s="313">
        <v>0</v>
      </c>
      <c r="AO120" s="313">
        <v>0</v>
      </c>
      <c r="AP120" s="313">
        <v>0</v>
      </c>
      <c r="AQ120" s="313">
        <v>0</v>
      </c>
      <c r="AR120" s="313">
        <v>0</v>
      </c>
      <c r="AS120" s="313">
        <v>0</v>
      </c>
      <c r="AT120" s="313">
        <v>0</v>
      </c>
      <c r="AX120" s="313">
        <v>0</v>
      </c>
      <c r="BB120" s="313">
        <v>0</v>
      </c>
      <c r="BC120" s="313">
        <v>0</v>
      </c>
      <c r="BD120" s="313">
        <v>0</v>
      </c>
      <c r="BE120" s="313">
        <v>0</v>
      </c>
      <c r="BF120" s="313">
        <v>0</v>
      </c>
      <c r="BH120" s="313">
        <v>0</v>
      </c>
      <c r="BL120" s="313">
        <v>0</v>
      </c>
    </row>
    <row r="121" spans="1:66">
      <c r="A121" s="313" t="s">
        <v>525</v>
      </c>
      <c r="B121" s="313">
        <v>0</v>
      </c>
      <c r="C121" s="313">
        <v>0</v>
      </c>
      <c r="D121" s="313">
        <v>0</v>
      </c>
      <c r="E121" s="313">
        <v>0</v>
      </c>
      <c r="F121" s="313">
        <v>0</v>
      </c>
      <c r="G121" s="313">
        <v>0</v>
      </c>
      <c r="J121" s="313">
        <v>0</v>
      </c>
      <c r="N121" s="313">
        <v>0</v>
      </c>
      <c r="O121" s="313">
        <v>0</v>
      </c>
      <c r="P121" s="313">
        <v>0</v>
      </c>
      <c r="Q121" s="313">
        <v>0</v>
      </c>
      <c r="R121" s="313">
        <v>0</v>
      </c>
      <c r="S121" s="313">
        <v>0</v>
      </c>
      <c r="W121" s="313">
        <v>0</v>
      </c>
      <c r="AA121" s="313">
        <v>0</v>
      </c>
      <c r="AB121" s="313">
        <v>0</v>
      </c>
      <c r="AC121" s="313">
        <v>0</v>
      </c>
      <c r="AD121" s="313">
        <v>0</v>
      </c>
      <c r="AE121" s="313">
        <v>0</v>
      </c>
      <c r="AG121" s="313">
        <v>0</v>
      </c>
      <c r="AK121" s="313">
        <v>0</v>
      </c>
      <c r="AO121" s="313">
        <v>0</v>
      </c>
      <c r="AP121" s="313">
        <v>0</v>
      </c>
      <c r="AQ121" s="313">
        <v>0</v>
      </c>
      <c r="AR121" s="313">
        <v>0</v>
      </c>
      <c r="AS121" s="313">
        <v>0</v>
      </c>
      <c r="AT121" s="313">
        <v>0</v>
      </c>
      <c r="AX121" s="313">
        <v>0</v>
      </c>
      <c r="BB121" s="313">
        <v>0</v>
      </c>
      <c r="BC121" s="313">
        <v>0</v>
      </c>
      <c r="BD121" s="313">
        <v>0</v>
      </c>
      <c r="BE121" s="313">
        <v>0</v>
      </c>
      <c r="BF121" s="313">
        <v>0</v>
      </c>
      <c r="BH121" s="313">
        <v>0</v>
      </c>
      <c r="BL121" s="313">
        <v>0</v>
      </c>
    </row>
    <row r="122" spans="1:66">
      <c r="A122" s="313" t="s">
        <v>526</v>
      </c>
      <c r="B122" s="313">
        <v>0</v>
      </c>
      <c r="C122" s="313">
        <v>0</v>
      </c>
      <c r="D122" s="313">
        <v>0</v>
      </c>
      <c r="E122" s="313">
        <v>0</v>
      </c>
      <c r="F122" s="313">
        <v>0</v>
      </c>
      <c r="G122" s="313">
        <v>0</v>
      </c>
      <c r="J122" s="313">
        <v>0</v>
      </c>
      <c r="N122" s="313">
        <v>0</v>
      </c>
      <c r="O122" s="313">
        <v>0</v>
      </c>
      <c r="P122" s="313">
        <v>0</v>
      </c>
      <c r="Q122" s="313">
        <v>0</v>
      </c>
      <c r="R122" s="313">
        <v>0</v>
      </c>
      <c r="S122" s="313">
        <v>0</v>
      </c>
      <c r="W122" s="313">
        <v>0</v>
      </c>
      <c r="AA122" s="313">
        <v>0</v>
      </c>
      <c r="AB122" s="313">
        <v>0</v>
      </c>
      <c r="AC122" s="313">
        <v>0</v>
      </c>
      <c r="AD122" s="313">
        <v>0</v>
      </c>
      <c r="AE122" s="313">
        <v>0</v>
      </c>
      <c r="AG122" s="313">
        <v>0</v>
      </c>
      <c r="AK122" s="313">
        <v>0</v>
      </c>
      <c r="AO122" s="313">
        <v>0</v>
      </c>
      <c r="AP122" s="313">
        <v>0</v>
      </c>
      <c r="AQ122" s="313">
        <v>0</v>
      </c>
      <c r="AR122" s="313">
        <v>0</v>
      </c>
      <c r="AS122" s="313">
        <v>0</v>
      </c>
      <c r="AT122" s="313">
        <v>0</v>
      </c>
      <c r="AX122" s="313">
        <v>0</v>
      </c>
      <c r="BB122" s="313">
        <v>0</v>
      </c>
      <c r="BC122" s="313">
        <v>0</v>
      </c>
      <c r="BD122" s="313">
        <v>0</v>
      </c>
      <c r="BE122" s="313">
        <v>0</v>
      </c>
      <c r="BF122" s="313">
        <v>0</v>
      </c>
      <c r="BH122" s="313">
        <v>0</v>
      </c>
      <c r="BL122" s="313">
        <v>0</v>
      </c>
    </row>
    <row r="123" spans="1:66">
      <c r="A123" s="313" t="s">
        <v>527</v>
      </c>
      <c r="B123" s="313">
        <v>0</v>
      </c>
      <c r="C123" s="313">
        <v>0</v>
      </c>
      <c r="D123" s="313">
        <v>0</v>
      </c>
      <c r="E123" s="313">
        <v>2250</v>
      </c>
      <c r="F123" s="313">
        <v>0</v>
      </c>
      <c r="G123" s="313">
        <v>0</v>
      </c>
      <c r="J123" s="313">
        <v>0</v>
      </c>
      <c r="N123" s="313">
        <v>0</v>
      </c>
      <c r="O123" s="313">
        <v>0</v>
      </c>
      <c r="P123" s="313">
        <v>0</v>
      </c>
      <c r="Q123" s="313">
        <v>500</v>
      </c>
      <c r="R123" s="313">
        <v>0</v>
      </c>
      <c r="S123" s="313">
        <v>0</v>
      </c>
      <c r="W123" s="313">
        <v>0</v>
      </c>
      <c r="AA123" s="313">
        <v>5090.0358249999999</v>
      </c>
      <c r="AB123" s="313">
        <v>3573.399825</v>
      </c>
      <c r="AC123" s="313">
        <v>5506.3998250000004</v>
      </c>
      <c r="AD123" s="313">
        <v>7292.7564249999996</v>
      </c>
      <c r="AE123" s="313">
        <v>0</v>
      </c>
      <c r="AG123" s="313">
        <v>0</v>
      </c>
      <c r="AK123" s="313">
        <v>0</v>
      </c>
      <c r="AO123" s="313">
        <v>0</v>
      </c>
      <c r="AP123" s="313">
        <v>10115.993401</v>
      </c>
      <c r="AQ123" s="313">
        <v>13115.993401</v>
      </c>
      <c r="AR123" s="313">
        <v>39981.244300999999</v>
      </c>
      <c r="AS123" s="313">
        <v>0</v>
      </c>
      <c r="AT123" s="313">
        <v>0</v>
      </c>
      <c r="AX123" s="313">
        <v>0</v>
      </c>
      <c r="BB123" s="313">
        <v>20</v>
      </c>
      <c r="BC123" s="313">
        <v>20</v>
      </c>
      <c r="BD123" s="313">
        <v>20</v>
      </c>
      <c r="BE123" s="313">
        <v>20</v>
      </c>
      <c r="BF123" s="313">
        <v>0</v>
      </c>
      <c r="BH123" s="313">
        <v>0</v>
      </c>
      <c r="BL123" s="313">
        <v>0</v>
      </c>
    </row>
    <row r="124" spans="1:66">
      <c r="A124" s="313" t="s">
        <v>528</v>
      </c>
      <c r="B124" s="313">
        <v>0</v>
      </c>
      <c r="C124" s="313">
        <v>0</v>
      </c>
      <c r="D124" s="313">
        <v>0</v>
      </c>
      <c r="E124" s="313">
        <v>0</v>
      </c>
      <c r="F124" s="313">
        <v>0</v>
      </c>
      <c r="G124" s="313">
        <v>0</v>
      </c>
      <c r="J124" s="313">
        <v>0</v>
      </c>
      <c r="N124" s="313">
        <v>0</v>
      </c>
      <c r="O124" s="313">
        <v>0</v>
      </c>
      <c r="P124" s="313">
        <v>0</v>
      </c>
      <c r="Q124" s="313">
        <v>0</v>
      </c>
      <c r="R124" s="313">
        <v>0</v>
      </c>
      <c r="S124" s="313">
        <v>0</v>
      </c>
      <c r="W124" s="313">
        <v>0</v>
      </c>
      <c r="AA124" s="313">
        <v>0</v>
      </c>
      <c r="AB124" s="313">
        <v>0</v>
      </c>
      <c r="AC124" s="313">
        <v>0</v>
      </c>
      <c r="AD124" s="313">
        <v>0</v>
      </c>
      <c r="AE124" s="313">
        <v>0</v>
      </c>
      <c r="AG124" s="313">
        <v>0</v>
      </c>
      <c r="AK124" s="313">
        <v>0</v>
      </c>
      <c r="AO124" s="313">
        <v>0</v>
      </c>
      <c r="AP124" s="313">
        <v>0</v>
      </c>
      <c r="AQ124" s="313">
        <v>0</v>
      </c>
      <c r="AR124" s="313">
        <v>0</v>
      </c>
      <c r="AS124" s="313">
        <v>0</v>
      </c>
      <c r="AT124" s="313">
        <v>0</v>
      </c>
      <c r="AX124" s="313">
        <v>0</v>
      </c>
      <c r="BB124" s="313">
        <v>0</v>
      </c>
      <c r="BC124" s="313">
        <v>0</v>
      </c>
      <c r="BD124" s="313">
        <v>0</v>
      </c>
      <c r="BE124" s="313">
        <v>0</v>
      </c>
      <c r="BF124" s="313">
        <v>0</v>
      </c>
      <c r="BH124" s="313">
        <v>0</v>
      </c>
      <c r="BL124" s="313">
        <v>0</v>
      </c>
    </row>
    <row r="125" spans="1:66">
      <c r="A125" s="313" t="s">
        <v>529</v>
      </c>
      <c r="B125" s="313">
        <v>0</v>
      </c>
      <c r="C125" s="313">
        <v>0</v>
      </c>
      <c r="D125" s="313">
        <v>0</v>
      </c>
      <c r="E125" s="313">
        <v>0</v>
      </c>
      <c r="F125" s="313">
        <v>0</v>
      </c>
      <c r="G125" s="313">
        <v>0</v>
      </c>
      <c r="J125" s="313">
        <v>0</v>
      </c>
      <c r="N125" s="313">
        <v>0</v>
      </c>
      <c r="O125" s="313">
        <v>0</v>
      </c>
      <c r="P125" s="313">
        <v>0</v>
      </c>
      <c r="Q125" s="313">
        <v>0</v>
      </c>
      <c r="R125" s="313">
        <v>0</v>
      </c>
      <c r="S125" s="313">
        <v>0</v>
      </c>
      <c r="W125" s="313">
        <v>0</v>
      </c>
      <c r="AA125" s="313">
        <v>0</v>
      </c>
      <c r="AB125" s="313">
        <v>0</v>
      </c>
      <c r="AC125" s="313">
        <v>0</v>
      </c>
      <c r="AD125" s="313">
        <v>0</v>
      </c>
      <c r="AE125" s="313">
        <v>0</v>
      </c>
      <c r="AG125" s="313">
        <v>0</v>
      </c>
      <c r="AK125" s="313">
        <v>0</v>
      </c>
      <c r="AO125" s="313">
        <v>0</v>
      </c>
      <c r="AP125" s="313">
        <v>0</v>
      </c>
      <c r="AQ125" s="313">
        <v>0</v>
      </c>
      <c r="AR125" s="313">
        <v>0</v>
      </c>
      <c r="AS125" s="313">
        <v>0</v>
      </c>
      <c r="AT125" s="313">
        <v>0</v>
      </c>
      <c r="AX125" s="313">
        <v>0</v>
      </c>
      <c r="BB125" s="313">
        <v>0</v>
      </c>
      <c r="BC125" s="313">
        <v>0</v>
      </c>
      <c r="BD125" s="313">
        <v>0</v>
      </c>
      <c r="BE125" s="313">
        <v>0</v>
      </c>
      <c r="BF125" s="313">
        <v>0</v>
      </c>
      <c r="BH125" s="313">
        <v>0</v>
      </c>
      <c r="BL125" s="313">
        <v>0</v>
      </c>
    </row>
    <row r="126" spans="1:66">
      <c r="A126" s="313" t="s">
        <v>530</v>
      </c>
      <c r="B126" s="313">
        <v>0</v>
      </c>
      <c r="C126" s="313">
        <v>0</v>
      </c>
      <c r="D126" s="313">
        <v>0</v>
      </c>
      <c r="E126" s="313">
        <v>0</v>
      </c>
      <c r="F126" s="313">
        <v>0</v>
      </c>
      <c r="G126" s="313">
        <v>0</v>
      </c>
      <c r="J126" s="313">
        <v>0</v>
      </c>
      <c r="N126" s="313">
        <v>0</v>
      </c>
      <c r="O126" s="313">
        <v>0</v>
      </c>
      <c r="P126" s="313">
        <v>0</v>
      </c>
      <c r="Q126" s="313">
        <v>0</v>
      </c>
      <c r="R126" s="313">
        <v>0</v>
      </c>
      <c r="S126" s="313">
        <v>0</v>
      </c>
      <c r="W126" s="313">
        <v>0</v>
      </c>
      <c r="AA126" s="313">
        <v>0</v>
      </c>
      <c r="AB126" s="313">
        <v>0</v>
      </c>
      <c r="AC126" s="313">
        <v>0</v>
      </c>
      <c r="AD126" s="313">
        <v>0</v>
      </c>
      <c r="AE126" s="313">
        <v>0</v>
      </c>
      <c r="AG126" s="313">
        <v>0</v>
      </c>
      <c r="AK126" s="313">
        <v>0</v>
      </c>
      <c r="AO126" s="313">
        <v>0</v>
      </c>
      <c r="AP126" s="313">
        <v>0</v>
      </c>
      <c r="AQ126" s="313">
        <v>0</v>
      </c>
      <c r="AR126" s="313">
        <v>0</v>
      </c>
      <c r="AS126" s="313">
        <v>0</v>
      </c>
      <c r="AT126" s="313">
        <v>0</v>
      </c>
      <c r="AX126" s="313">
        <v>0</v>
      </c>
      <c r="BB126" s="313">
        <v>0</v>
      </c>
      <c r="BC126" s="313">
        <v>0</v>
      </c>
      <c r="BD126" s="313">
        <v>0</v>
      </c>
      <c r="BE126" s="313">
        <v>0</v>
      </c>
      <c r="BF126" s="313">
        <v>0</v>
      </c>
      <c r="BH126" s="313">
        <v>0</v>
      </c>
      <c r="BL126" s="313">
        <v>0</v>
      </c>
    </row>
    <row r="127" spans="1:66">
      <c r="A127" s="313" t="s">
        <v>531</v>
      </c>
      <c r="B127" s="313">
        <v>0</v>
      </c>
      <c r="C127" s="313">
        <v>0</v>
      </c>
      <c r="D127" s="313">
        <v>0</v>
      </c>
      <c r="E127" s="313">
        <v>11288.7112</v>
      </c>
      <c r="F127" s="313">
        <v>8493.0720810000003</v>
      </c>
      <c r="G127" s="313">
        <v>6274.2237960000002</v>
      </c>
      <c r="H127" s="313">
        <v>6274.2237960000002</v>
      </c>
      <c r="J127" s="313">
        <v>9496.8470290000005</v>
      </c>
      <c r="K127" s="313">
        <v>9496.8470290000005</v>
      </c>
      <c r="N127" s="313">
        <v>0</v>
      </c>
      <c r="O127" s="313">
        <v>0</v>
      </c>
      <c r="P127" s="313">
        <v>0</v>
      </c>
      <c r="Q127" s="313">
        <v>0</v>
      </c>
      <c r="R127" s="313">
        <v>0</v>
      </c>
      <c r="S127" s="313">
        <v>0</v>
      </c>
      <c r="W127" s="313">
        <v>0</v>
      </c>
      <c r="AA127" s="313">
        <v>0</v>
      </c>
      <c r="AB127" s="313">
        <v>0</v>
      </c>
      <c r="AC127" s="313">
        <v>0</v>
      </c>
      <c r="AD127" s="313">
        <v>0</v>
      </c>
      <c r="AE127" s="313">
        <v>0</v>
      </c>
      <c r="AG127" s="313">
        <v>0</v>
      </c>
      <c r="AK127" s="313">
        <v>0</v>
      </c>
      <c r="AO127" s="313">
        <v>0</v>
      </c>
      <c r="AP127" s="313">
        <v>0</v>
      </c>
      <c r="AQ127" s="313">
        <v>0</v>
      </c>
      <c r="AR127" s="313">
        <v>0</v>
      </c>
      <c r="AS127" s="313">
        <v>0</v>
      </c>
      <c r="AT127" s="313">
        <v>0</v>
      </c>
      <c r="AX127" s="313">
        <v>0</v>
      </c>
      <c r="BB127" s="313">
        <v>0</v>
      </c>
      <c r="BC127" s="313">
        <v>0</v>
      </c>
      <c r="BD127" s="313">
        <v>0</v>
      </c>
      <c r="BE127" s="313">
        <v>0</v>
      </c>
      <c r="BF127" s="313">
        <v>0</v>
      </c>
      <c r="BH127" s="313">
        <v>0</v>
      </c>
      <c r="BL127" s="313">
        <v>0</v>
      </c>
    </row>
    <row r="128" spans="1:66">
      <c r="A128" s="313" t="s">
        <v>532</v>
      </c>
      <c r="B128" s="313">
        <v>0</v>
      </c>
      <c r="C128" s="313">
        <v>419.87322300000005</v>
      </c>
      <c r="D128" s="313">
        <v>438.51303799999999</v>
      </c>
      <c r="E128" s="313">
        <v>1025.5812130000002</v>
      </c>
      <c r="F128" s="313">
        <v>1171.565259</v>
      </c>
      <c r="G128" s="313">
        <v>1284.184</v>
      </c>
      <c r="H128" s="313">
        <v>1284.184</v>
      </c>
      <c r="J128" s="313">
        <v>6935.3211200000005</v>
      </c>
      <c r="K128" s="313">
        <v>6935.3211200000005</v>
      </c>
      <c r="N128" s="313">
        <v>0</v>
      </c>
      <c r="O128" s="313">
        <v>0</v>
      </c>
      <c r="P128" s="313">
        <v>0</v>
      </c>
      <c r="Q128" s="313">
        <v>1188.461192</v>
      </c>
      <c r="R128" s="313">
        <v>1360.5138669999999</v>
      </c>
      <c r="S128" s="313">
        <v>5923.7874830000001</v>
      </c>
      <c r="T128" s="313">
        <v>5923.7874830000001</v>
      </c>
      <c r="W128" s="313">
        <v>6432.0213430000003</v>
      </c>
      <c r="X128" s="313">
        <v>6432.0213430000003</v>
      </c>
      <c r="AA128" s="313">
        <v>6275.0179979999994</v>
      </c>
      <c r="AB128" s="313">
        <v>6635.0943520000001</v>
      </c>
      <c r="AC128" s="313">
        <v>7016.890531</v>
      </c>
      <c r="AD128" s="313">
        <v>7164.8171510000002</v>
      </c>
      <c r="AE128" s="313">
        <v>8705.8470249999991</v>
      </c>
      <c r="AG128" s="313">
        <v>9390.3162940000002</v>
      </c>
      <c r="AH128" s="313">
        <v>9390.3162940000002</v>
      </c>
      <c r="AK128" s="313">
        <v>8536.9649250000002</v>
      </c>
      <c r="AL128" s="313">
        <v>8536.9649250000002</v>
      </c>
      <c r="AO128" s="313">
        <v>2163.7693789999998</v>
      </c>
      <c r="AP128" s="313">
        <v>2902.3697809999999</v>
      </c>
      <c r="AQ128" s="313">
        <v>4461.3276459999997</v>
      </c>
      <c r="AR128" s="313">
        <v>7249.9517849999993</v>
      </c>
      <c r="AS128" s="313">
        <v>12029.293763</v>
      </c>
      <c r="AT128" s="313">
        <v>13571.647857</v>
      </c>
      <c r="AU128" s="313">
        <v>13571.647857</v>
      </c>
      <c r="AX128" s="313">
        <v>18917.708146000001</v>
      </c>
      <c r="AY128" s="313">
        <v>18917.708146000001</v>
      </c>
      <c r="BB128" s="313">
        <v>27.915221999999996</v>
      </c>
      <c r="BC128" s="313">
        <v>26.125757999999998</v>
      </c>
      <c r="BD128" s="313">
        <v>5590.6246819999997</v>
      </c>
      <c r="BE128" s="313">
        <v>6760.5343760000005</v>
      </c>
      <c r="BF128" s="313">
        <v>8885.3818890000002</v>
      </c>
      <c r="BH128" s="313">
        <v>8810.761923</v>
      </c>
      <c r="BI128" s="313">
        <v>8810.761923</v>
      </c>
      <c r="BL128" s="313">
        <v>9821.1785</v>
      </c>
      <c r="BM128" s="313">
        <v>9821.1785</v>
      </c>
    </row>
    <row r="129" spans="1:65">
      <c r="A129" s="313" t="s">
        <v>533</v>
      </c>
      <c r="B129" s="313">
        <v>0</v>
      </c>
      <c r="C129" s="313">
        <v>0</v>
      </c>
      <c r="D129" s="313">
        <v>0</v>
      </c>
      <c r="E129" s="313">
        <v>0</v>
      </c>
      <c r="F129" s="313">
        <v>18801.966291999997</v>
      </c>
      <c r="G129" s="313">
        <v>21344.032599999999</v>
      </c>
      <c r="H129" s="313">
        <v>21344.032599999999</v>
      </c>
      <c r="J129" s="313">
        <v>21344.032630000002</v>
      </c>
      <c r="K129" s="313">
        <v>21344.032630000002</v>
      </c>
      <c r="N129" s="313">
        <v>0</v>
      </c>
      <c r="O129" s="313">
        <v>0</v>
      </c>
      <c r="P129" s="313">
        <v>0</v>
      </c>
      <c r="Q129" s="313">
        <v>0</v>
      </c>
      <c r="R129" s="313">
        <v>0</v>
      </c>
      <c r="S129" s="313">
        <v>0</v>
      </c>
      <c r="W129" s="313">
        <v>0</v>
      </c>
      <c r="AA129" s="313">
        <v>0</v>
      </c>
      <c r="AB129" s="313">
        <v>0</v>
      </c>
      <c r="AC129" s="313">
        <v>0</v>
      </c>
      <c r="AD129" s="313">
        <v>0</v>
      </c>
      <c r="AE129" s="313">
        <v>12162.395289</v>
      </c>
      <c r="AG129" s="313">
        <v>12608.735289</v>
      </c>
      <c r="AH129" s="313">
        <v>12608.735289</v>
      </c>
      <c r="AK129" s="313">
        <v>12608.735289</v>
      </c>
      <c r="AL129" s="313">
        <v>12608.735289</v>
      </c>
      <c r="AO129" s="313">
        <v>0</v>
      </c>
      <c r="AP129" s="313">
        <v>0</v>
      </c>
      <c r="AQ129" s="313">
        <v>0</v>
      </c>
      <c r="AR129" s="313">
        <v>0</v>
      </c>
      <c r="AS129" s="313">
        <v>41443.244300999999</v>
      </c>
      <c r="AT129" s="313">
        <v>41939.414300999997</v>
      </c>
      <c r="AU129" s="313">
        <v>41939.414300999997</v>
      </c>
      <c r="AX129" s="313">
        <v>41878.854300999999</v>
      </c>
      <c r="AY129" s="313">
        <v>41878.854300999999</v>
      </c>
      <c r="BB129" s="313">
        <v>0</v>
      </c>
      <c r="BC129" s="313">
        <v>0</v>
      </c>
      <c r="BD129" s="313">
        <v>0</v>
      </c>
      <c r="BE129" s="313">
        <v>0</v>
      </c>
      <c r="BF129" s="313">
        <v>520</v>
      </c>
      <c r="BH129" s="313">
        <v>932.61591500000009</v>
      </c>
      <c r="BI129" s="313">
        <v>932.61591500000009</v>
      </c>
      <c r="BL129" s="313">
        <v>4932.6159149999994</v>
      </c>
      <c r="BM129" s="313">
        <v>4932.6159149999994</v>
      </c>
    </row>
    <row r="130" spans="1:65">
      <c r="A130" s="313" t="s">
        <v>534</v>
      </c>
      <c r="B130" s="313">
        <v>0</v>
      </c>
      <c r="C130" s="313">
        <v>0</v>
      </c>
      <c r="D130" s="313">
        <v>0</v>
      </c>
      <c r="E130" s="313">
        <v>0</v>
      </c>
      <c r="F130" s="313">
        <v>0</v>
      </c>
      <c r="G130" s="313">
        <v>0</v>
      </c>
      <c r="J130" s="313">
        <v>0</v>
      </c>
      <c r="N130" s="313">
        <v>0</v>
      </c>
      <c r="O130" s="313">
        <v>0</v>
      </c>
      <c r="P130" s="313">
        <v>0</v>
      </c>
      <c r="Q130" s="313">
        <v>0</v>
      </c>
      <c r="R130" s="313">
        <v>2000</v>
      </c>
      <c r="S130" s="313">
        <v>2200</v>
      </c>
      <c r="T130" s="313">
        <v>2200</v>
      </c>
      <c r="W130" s="313">
        <v>2200</v>
      </c>
      <c r="X130" s="313">
        <v>2200</v>
      </c>
      <c r="AA130" s="313">
        <v>0</v>
      </c>
      <c r="AB130" s="313">
        <v>0</v>
      </c>
      <c r="AC130" s="313">
        <v>0</v>
      </c>
      <c r="AD130" s="313">
        <v>0</v>
      </c>
      <c r="AE130" s="313">
        <v>0</v>
      </c>
      <c r="AG130" s="313">
        <v>0</v>
      </c>
      <c r="AK130" s="313">
        <v>0</v>
      </c>
      <c r="AO130" s="313">
        <v>0</v>
      </c>
      <c r="AP130" s="313">
        <v>0</v>
      </c>
      <c r="AQ130" s="313">
        <v>0</v>
      </c>
      <c r="AR130" s="313">
        <v>0</v>
      </c>
      <c r="AS130" s="313">
        <v>0</v>
      </c>
      <c r="AT130" s="313">
        <v>0</v>
      </c>
      <c r="AX130" s="313">
        <v>0</v>
      </c>
      <c r="BB130" s="313">
        <v>0</v>
      </c>
      <c r="BC130" s="313">
        <v>0</v>
      </c>
      <c r="BD130" s="313">
        <v>0</v>
      </c>
      <c r="BE130" s="313">
        <v>0</v>
      </c>
      <c r="BF130" s="313">
        <v>0</v>
      </c>
      <c r="BH130" s="313">
        <v>0</v>
      </c>
      <c r="BL130" s="313">
        <v>0</v>
      </c>
    </row>
    <row r="131" spans="1:65">
      <c r="A131" s="313" t="s">
        <v>535</v>
      </c>
      <c r="B131" s="313">
        <v>0</v>
      </c>
      <c r="C131" s="313">
        <v>0</v>
      </c>
      <c r="D131" s="313">
        <v>0</v>
      </c>
      <c r="E131" s="313">
        <v>0</v>
      </c>
      <c r="F131" s="313">
        <v>0</v>
      </c>
      <c r="G131" s="313">
        <v>0</v>
      </c>
      <c r="J131" s="313">
        <v>0</v>
      </c>
      <c r="N131" s="313">
        <v>0</v>
      </c>
      <c r="O131" s="313">
        <v>0</v>
      </c>
      <c r="P131" s="313">
        <v>0</v>
      </c>
      <c r="Q131" s="313">
        <v>0</v>
      </c>
      <c r="R131" s="313">
        <v>0</v>
      </c>
      <c r="S131" s="313">
        <v>0</v>
      </c>
      <c r="W131" s="313">
        <v>0</v>
      </c>
      <c r="AA131" s="313">
        <v>0</v>
      </c>
      <c r="AB131" s="313">
        <v>0</v>
      </c>
      <c r="AC131" s="313">
        <v>650.36356799999999</v>
      </c>
      <c r="AD131" s="313">
        <v>13985.589727</v>
      </c>
      <c r="AE131" s="313">
        <v>20923.842869</v>
      </c>
      <c r="AG131" s="313">
        <v>18782.373136999999</v>
      </c>
      <c r="AH131" s="313">
        <v>18782.373136999999</v>
      </c>
      <c r="AK131" s="313">
        <v>18408.708322999999</v>
      </c>
      <c r="AL131" s="313">
        <v>18408.708322999999</v>
      </c>
      <c r="AO131" s="313">
        <v>0</v>
      </c>
      <c r="AP131" s="313">
        <v>0</v>
      </c>
      <c r="AQ131" s="313">
        <v>0</v>
      </c>
      <c r="AR131" s="313">
        <v>0</v>
      </c>
      <c r="AS131" s="313">
        <v>0</v>
      </c>
      <c r="AT131" s="313">
        <v>0</v>
      </c>
      <c r="AU131" s="313">
        <v>0</v>
      </c>
      <c r="AX131" s="313">
        <v>0</v>
      </c>
      <c r="AY131" s="313">
        <v>0</v>
      </c>
      <c r="BB131" s="313">
        <v>0</v>
      </c>
      <c r="BC131" s="313">
        <v>0</v>
      </c>
      <c r="BD131" s="313">
        <v>0</v>
      </c>
      <c r="BE131" s="313">
        <v>0</v>
      </c>
      <c r="BF131" s="313">
        <v>0</v>
      </c>
      <c r="BH131" s="313">
        <v>0</v>
      </c>
      <c r="BI131" s="313">
        <v>0</v>
      </c>
      <c r="BL131" s="313">
        <v>0</v>
      </c>
      <c r="BM131" s="313">
        <v>0</v>
      </c>
    </row>
    <row r="132" spans="1:65">
      <c r="A132" s="313" t="s">
        <v>536</v>
      </c>
      <c r="B132" s="313">
        <v>3880.4113109999998</v>
      </c>
      <c r="C132" s="313">
        <v>3890.8044340000006</v>
      </c>
      <c r="D132" s="313">
        <v>3784.8375960000003</v>
      </c>
      <c r="E132" s="313">
        <v>5934.8070299999999</v>
      </c>
      <c r="F132" s="313">
        <v>7050.3792370000001</v>
      </c>
      <c r="G132" s="313">
        <v>14580.842165</v>
      </c>
      <c r="J132" s="313">
        <v>28687.558487999999</v>
      </c>
      <c r="N132" s="313">
        <v>1979.413178</v>
      </c>
      <c r="O132" s="313">
        <v>1968.8227429999999</v>
      </c>
      <c r="P132" s="313">
        <v>1908.1983649999997</v>
      </c>
      <c r="Q132" s="313">
        <v>6696.0502189999997</v>
      </c>
      <c r="R132" s="313">
        <v>15806.192405000002</v>
      </c>
      <c r="S132" s="313">
        <v>46389.342082999996</v>
      </c>
      <c r="W132" s="313">
        <v>45451.449225999997</v>
      </c>
      <c r="AA132" s="313">
        <v>18893.087991999997</v>
      </c>
      <c r="AB132" s="313">
        <v>20152.651515000001</v>
      </c>
      <c r="AC132" s="313">
        <v>24415.624059000002</v>
      </c>
      <c r="AD132" s="313">
        <v>36756.865688999998</v>
      </c>
      <c r="AE132" s="313">
        <v>29204.054277999996</v>
      </c>
      <c r="AG132" s="313">
        <v>30325.254626999998</v>
      </c>
      <c r="AK132" s="313">
        <v>29438.104626999997</v>
      </c>
      <c r="AO132" s="313">
        <v>2993.624511</v>
      </c>
      <c r="AP132" s="313">
        <v>21115.387157000001</v>
      </c>
      <c r="AQ132" s="313">
        <v>21365.982308999999</v>
      </c>
      <c r="AR132" s="313">
        <v>28293.388674000002</v>
      </c>
      <c r="AS132" s="313">
        <v>29839.203162999998</v>
      </c>
      <c r="AT132" s="313">
        <v>36578.616705</v>
      </c>
      <c r="AX132" s="313">
        <v>34521.864785999998</v>
      </c>
      <c r="BB132" s="313">
        <v>534.03104400000007</v>
      </c>
      <c r="BC132" s="313">
        <v>491.74226399999998</v>
      </c>
      <c r="BD132" s="313">
        <v>392.793746</v>
      </c>
      <c r="BE132" s="313">
        <v>405.01920799999999</v>
      </c>
      <c r="BF132" s="313">
        <v>8459.725375</v>
      </c>
      <c r="BH132" s="313">
        <v>10122.139423000001</v>
      </c>
      <c r="BL132" s="313">
        <v>12820.755474</v>
      </c>
    </row>
    <row r="133" spans="1:65">
      <c r="A133" s="313" t="s">
        <v>537</v>
      </c>
      <c r="B133" s="313">
        <v>3880.4113109999998</v>
      </c>
      <c r="C133" s="313">
        <v>3890.8044340000006</v>
      </c>
      <c r="D133" s="313">
        <v>3784.8375960000003</v>
      </c>
      <c r="E133" s="313">
        <v>5934.8070299999999</v>
      </c>
      <c r="F133" s="313">
        <v>7050.3792370000001</v>
      </c>
      <c r="G133" s="313">
        <v>14580.842165</v>
      </c>
      <c r="J133" s="313">
        <v>0</v>
      </c>
      <c r="N133" s="313">
        <v>1979.413178</v>
      </c>
      <c r="O133" s="313">
        <v>1968.8227429999999</v>
      </c>
      <c r="P133" s="313">
        <v>1908.1983649999997</v>
      </c>
      <c r="Q133" s="313">
        <v>6696.0502189999997</v>
      </c>
      <c r="R133" s="313">
        <v>15806.192405000002</v>
      </c>
      <c r="S133" s="313">
        <v>46389.342082999996</v>
      </c>
      <c r="W133" s="313">
        <v>0</v>
      </c>
      <c r="AA133" s="313">
        <v>18893.087991999997</v>
      </c>
      <c r="AB133" s="313">
        <v>20152.651515000001</v>
      </c>
      <c r="AC133" s="313">
        <v>24415.624059000002</v>
      </c>
      <c r="AD133" s="313">
        <v>36756.865688999998</v>
      </c>
      <c r="AE133" s="313">
        <v>29204.054277999996</v>
      </c>
      <c r="AG133" s="313">
        <v>30325.254626999998</v>
      </c>
      <c r="AK133" s="313">
        <v>0</v>
      </c>
      <c r="AO133" s="313">
        <v>2993.624511</v>
      </c>
      <c r="AP133" s="313">
        <v>21115.387157000001</v>
      </c>
      <c r="AQ133" s="313">
        <v>21365.982308999999</v>
      </c>
      <c r="AR133" s="313">
        <v>28293.388674000002</v>
      </c>
      <c r="AS133" s="313">
        <v>29839.203162999998</v>
      </c>
      <c r="AT133" s="313">
        <v>36578.616705</v>
      </c>
      <c r="AX133" s="313">
        <v>0</v>
      </c>
      <c r="BB133" s="313">
        <v>534.03104400000007</v>
      </c>
      <c r="BC133" s="313">
        <v>491.74226399999998</v>
      </c>
      <c r="BD133" s="313">
        <v>392.793746</v>
      </c>
      <c r="BE133" s="313">
        <v>405.01920799999999</v>
      </c>
      <c r="BF133" s="313">
        <v>8459.725375</v>
      </c>
      <c r="BH133" s="313">
        <v>10122.139423000001</v>
      </c>
      <c r="BL133" s="313">
        <v>0</v>
      </c>
    </row>
    <row r="134" spans="1:65">
      <c r="A134" s="313" t="s">
        <v>538</v>
      </c>
      <c r="B134" s="313">
        <v>0</v>
      </c>
      <c r="C134" s="313">
        <v>0</v>
      </c>
      <c r="D134" s="313">
        <v>0</v>
      </c>
      <c r="E134" s="313">
        <v>0</v>
      </c>
      <c r="F134" s="313">
        <v>0</v>
      </c>
      <c r="G134" s="313">
        <v>0</v>
      </c>
      <c r="J134" s="313">
        <v>0</v>
      </c>
      <c r="N134" s="313">
        <v>0</v>
      </c>
      <c r="O134" s="313">
        <v>0</v>
      </c>
      <c r="P134" s="313">
        <v>0</v>
      </c>
      <c r="Q134" s="313">
        <v>0</v>
      </c>
      <c r="R134" s="313">
        <v>0</v>
      </c>
      <c r="S134" s="313">
        <v>0</v>
      </c>
      <c r="W134" s="313">
        <v>0</v>
      </c>
      <c r="AA134" s="313">
        <v>0</v>
      </c>
      <c r="AB134" s="313">
        <v>0</v>
      </c>
      <c r="AC134" s="313">
        <v>0</v>
      </c>
      <c r="AD134" s="313">
        <v>0</v>
      </c>
      <c r="AE134" s="313">
        <v>0</v>
      </c>
      <c r="AG134" s="313">
        <v>0</v>
      </c>
      <c r="AK134" s="313">
        <v>0</v>
      </c>
      <c r="AO134" s="313">
        <v>0</v>
      </c>
      <c r="AP134" s="313">
        <v>0</v>
      </c>
      <c r="AQ134" s="313">
        <v>0</v>
      </c>
      <c r="AR134" s="313">
        <v>0</v>
      </c>
      <c r="AS134" s="313">
        <v>0</v>
      </c>
      <c r="AT134" s="313">
        <v>0</v>
      </c>
      <c r="AX134" s="313">
        <v>0</v>
      </c>
      <c r="BB134" s="313">
        <v>0</v>
      </c>
      <c r="BC134" s="313">
        <v>0</v>
      </c>
      <c r="BD134" s="313">
        <v>0</v>
      </c>
      <c r="BE134" s="313">
        <v>0</v>
      </c>
      <c r="BF134" s="313">
        <v>0</v>
      </c>
      <c r="BH134" s="313">
        <v>0</v>
      </c>
      <c r="BL134" s="313">
        <v>0</v>
      </c>
    </row>
    <row r="135" spans="1:65">
      <c r="A135" s="313" t="s">
        <v>539</v>
      </c>
      <c r="B135" s="313">
        <v>646.147559</v>
      </c>
      <c r="C135" s="313">
        <v>4771.1713220000001</v>
      </c>
      <c r="D135" s="313">
        <v>9077.6055519999991</v>
      </c>
      <c r="E135" s="313">
        <v>10974.703336</v>
      </c>
      <c r="F135" s="313">
        <v>20620.072407</v>
      </c>
      <c r="G135" s="313">
        <v>19088.616140999999</v>
      </c>
      <c r="H135" s="313">
        <v>19088.616140999999</v>
      </c>
      <c r="J135" s="313">
        <v>9687.9902010000005</v>
      </c>
      <c r="K135" s="313">
        <v>9687.9902010000005</v>
      </c>
      <c r="N135" s="313">
        <v>0</v>
      </c>
      <c r="O135" s="313">
        <v>0</v>
      </c>
      <c r="P135" s="313">
        <v>4193.8500030000005</v>
      </c>
      <c r="Q135" s="313">
        <v>3546.5709539999998</v>
      </c>
      <c r="R135" s="313">
        <v>0</v>
      </c>
      <c r="S135" s="313">
        <v>0</v>
      </c>
      <c r="W135" s="313">
        <v>21.238939000000002</v>
      </c>
      <c r="AA135" s="313">
        <v>13803.060594</v>
      </c>
      <c r="AB135" s="313">
        <v>13846.428693</v>
      </c>
      <c r="AC135" s="313">
        <v>15246.855055000002</v>
      </c>
      <c r="AD135" s="313">
        <v>0</v>
      </c>
      <c r="AE135" s="313">
        <v>0</v>
      </c>
      <c r="AG135" s="313">
        <v>1166.0418</v>
      </c>
      <c r="AH135" s="313">
        <v>1166.0418</v>
      </c>
      <c r="AK135" s="313">
        <v>4030.8321969999997</v>
      </c>
      <c r="AL135" s="313">
        <v>4030.8321969999997</v>
      </c>
      <c r="AO135" s="313">
        <v>12751.937805</v>
      </c>
      <c r="AP135" s="313">
        <v>0</v>
      </c>
      <c r="AQ135" s="313">
        <v>4137.8108430000002</v>
      </c>
      <c r="AR135" s="313">
        <v>0</v>
      </c>
      <c r="AS135" s="313">
        <v>744.28931499999999</v>
      </c>
      <c r="AT135" s="313">
        <v>6417.0279970000001</v>
      </c>
      <c r="AU135" s="313">
        <v>6417.0279970000001</v>
      </c>
      <c r="AX135" s="313">
        <v>10675.085616</v>
      </c>
      <c r="AY135" s="313">
        <v>10675.085616</v>
      </c>
      <c r="BB135" s="313">
        <v>0</v>
      </c>
      <c r="BC135" s="313">
        <v>0</v>
      </c>
      <c r="BD135" s="313">
        <v>0</v>
      </c>
      <c r="BE135" s="313">
        <v>0</v>
      </c>
      <c r="BF135" s="313">
        <v>0</v>
      </c>
      <c r="BH135" s="313">
        <v>0</v>
      </c>
      <c r="BI135" s="313">
        <v>0</v>
      </c>
      <c r="BL135" s="313">
        <v>0</v>
      </c>
      <c r="BM135" s="313">
        <v>0</v>
      </c>
    </row>
    <row r="136" spans="1:65">
      <c r="A136" s="313" t="s">
        <v>540</v>
      </c>
      <c r="B136" s="313">
        <v>646.147559</v>
      </c>
      <c r="C136" s="313">
        <v>4771.1713220000001</v>
      </c>
      <c r="D136" s="313">
        <v>9077.6055519999991</v>
      </c>
      <c r="E136" s="313">
        <v>10974.703336</v>
      </c>
      <c r="F136" s="313">
        <v>20620.072407</v>
      </c>
      <c r="G136" s="313">
        <v>19088.616140999999</v>
      </c>
      <c r="J136" s="313">
        <v>0</v>
      </c>
      <c r="N136" s="313">
        <v>0</v>
      </c>
      <c r="O136" s="313">
        <v>0</v>
      </c>
      <c r="P136" s="313">
        <v>4193.8500030000005</v>
      </c>
      <c r="Q136" s="313">
        <v>3546.5709539999998</v>
      </c>
      <c r="R136" s="313">
        <v>0</v>
      </c>
      <c r="S136" s="313">
        <v>0</v>
      </c>
      <c r="W136" s="313">
        <v>0</v>
      </c>
      <c r="AA136" s="313">
        <v>13803.060594</v>
      </c>
      <c r="AB136" s="313">
        <v>13846.428693</v>
      </c>
      <c r="AC136" s="313">
        <v>15246.855055000002</v>
      </c>
      <c r="AD136" s="313">
        <v>0</v>
      </c>
      <c r="AE136" s="313">
        <v>0</v>
      </c>
      <c r="AG136" s="313">
        <v>1166.0418</v>
      </c>
      <c r="AK136" s="313">
        <v>0</v>
      </c>
      <c r="AO136" s="313">
        <v>12751.937805</v>
      </c>
      <c r="AP136" s="313">
        <v>0</v>
      </c>
      <c r="AQ136" s="313">
        <v>4137.8108430000002</v>
      </c>
      <c r="AR136" s="313">
        <v>0</v>
      </c>
      <c r="AS136" s="313">
        <v>744.28931499999999</v>
      </c>
      <c r="AT136" s="313">
        <v>6417.0279970000001</v>
      </c>
      <c r="AX136" s="313">
        <v>0</v>
      </c>
      <c r="BB136" s="313">
        <v>0</v>
      </c>
      <c r="BC136" s="313">
        <v>0</v>
      </c>
      <c r="BD136" s="313">
        <v>0</v>
      </c>
      <c r="BE136" s="313">
        <v>0</v>
      </c>
      <c r="BF136" s="313">
        <v>0</v>
      </c>
      <c r="BH136" s="313">
        <v>0</v>
      </c>
      <c r="BL136" s="313">
        <v>0</v>
      </c>
    </row>
    <row r="137" spans="1:65">
      <c r="A137" s="313" t="s">
        <v>541</v>
      </c>
      <c r="B137" s="313">
        <v>0</v>
      </c>
      <c r="C137" s="313">
        <v>0</v>
      </c>
      <c r="D137" s="313">
        <v>0</v>
      </c>
      <c r="E137" s="313">
        <v>0</v>
      </c>
      <c r="F137" s="313">
        <v>0</v>
      </c>
      <c r="G137" s="313">
        <v>0</v>
      </c>
      <c r="J137" s="313">
        <v>0</v>
      </c>
      <c r="N137" s="313">
        <v>0</v>
      </c>
      <c r="O137" s="313">
        <v>0</v>
      </c>
      <c r="P137" s="313">
        <v>0</v>
      </c>
      <c r="Q137" s="313">
        <v>0</v>
      </c>
      <c r="R137" s="313">
        <v>0</v>
      </c>
      <c r="S137" s="313">
        <v>0</v>
      </c>
      <c r="W137" s="313">
        <v>0</v>
      </c>
      <c r="AA137" s="313">
        <v>0</v>
      </c>
      <c r="AB137" s="313">
        <v>0</v>
      </c>
      <c r="AC137" s="313">
        <v>0</v>
      </c>
      <c r="AD137" s="313">
        <v>0</v>
      </c>
      <c r="AE137" s="313">
        <v>0</v>
      </c>
      <c r="AG137" s="313">
        <v>0</v>
      </c>
      <c r="AK137" s="313">
        <v>0</v>
      </c>
      <c r="AO137" s="313">
        <v>0</v>
      </c>
      <c r="AP137" s="313">
        <v>0</v>
      </c>
      <c r="AQ137" s="313">
        <v>0</v>
      </c>
      <c r="AR137" s="313">
        <v>0</v>
      </c>
      <c r="AS137" s="313">
        <v>0</v>
      </c>
      <c r="AT137" s="313">
        <v>0</v>
      </c>
      <c r="AX137" s="313">
        <v>0</v>
      </c>
      <c r="BB137" s="313">
        <v>0</v>
      </c>
      <c r="BC137" s="313">
        <v>0</v>
      </c>
      <c r="BD137" s="313">
        <v>0</v>
      </c>
      <c r="BE137" s="313">
        <v>0</v>
      </c>
      <c r="BF137" s="313">
        <v>0</v>
      </c>
      <c r="BH137" s="313">
        <v>0</v>
      </c>
      <c r="BL137" s="313">
        <v>0</v>
      </c>
    </row>
    <row r="138" spans="1:65">
      <c r="A138" s="313" t="s">
        <v>542</v>
      </c>
      <c r="B138" s="313">
        <v>0</v>
      </c>
      <c r="C138" s="313">
        <v>0</v>
      </c>
      <c r="D138" s="313">
        <v>0</v>
      </c>
      <c r="E138" s="313">
        <v>0</v>
      </c>
      <c r="F138" s="313">
        <v>0</v>
      </c>
      <c r="G138" s="313">
        <v>0</v>
      </c>
      <c r="J138" s="313">
        <v>0</v>
      </c>
      <c r="N138" s="313">
        <v>0</v>
      </c>
      <c r="O138" s="313">
        <v>0</v>
      </c>
      <c r="P138" s="313">
        <v>0</v>
      </c>
      <c r="Q138" s="313">
        <v>0</v>
      </c>
      <c r="R138" s="313">
        <v>0</v>
      </c>
      <c r="S138" s="313">
        <v>0</v>
      </c>
      <c r="W138" s="313">
        <v>0</v>
      </c>
      <c r="AA138" s="313">
        <v>0</v>
      </c>
      <c r="AB138" s="313">
        <v>0</v>
      </c>
      <c r="AC138" s="313">
        <v>0</v>
      </c>
      <c r="AD138" s="313">
        <v>0</v>
      </c>
      <c r="AE138" s="313">
        <v>0</v>
      </c>
      <c r="AG138" s="313">
        <v>0</v>
      </c>
      <c r="AK138" s="313">
        <v>0</v>
      </c>
      <c r="AO138" s="313">
        <v>0</v>
      </c>
      <c r="AP138" s="313">
        <v>0</v>
      </c>
      <c r="AQ138" s="313">
        <v>0</v>
      </c>
      <c r="AR138" s="313">
        <v>0</v>
      </c>
      <c r="AS138" s="313">
        <v>0</v>
      </c>
      <c r="AT138" s="313">
        <v>0</v>
      </c>
      <c r="AX138" s="313">
        <v>0</v>
      </c>
      <c r="BB138" s="313">
        <v>0</v>
      </c>
      <c r="BC138" s="313">
        <v>0</v>
      </c>
      <c r="BD138" s="313">
        <v>0</v>
      </c>
      <c r="BE138" s="313">
        <v>0</v>
      </c>
      <c r="BF138" s="313">
        <v>0</v>
      </c>
      <c r="BH138" s="313">
        <v>0</v>
      </c>
      <c r="BL138" s="313">
        <v>0</v>
      </c>
    </row>
    <row r="139" spans="1:65">
      <c r="A139" s="313" t="s">
        <v>543</v>
      </c>
      <c r="B139" s="313">
        <v>0</v>
      </c>
      <c r="C139" s="313">
        <v>0</v>
      </c>
      <c r="D139" s="313">
        <v>0</v>
      </c>
      <c r="E139" s="313">
        <v>0</v>
      </c>
      <c r="F139" s="313">
        <v>0</v>
      </c>
      <c r="G139" s="313">
        <v>0</v>
      </c>
      <c r="J139" s="313">
        <v>0</v>
      </c>
      <c r="N139" s="313">
        <v>0</v>
      </c>
      <c r="O139" s="313">
        <v>0</v>
      </c>
      <c r="P139" s="313">
        <v>0</v>
      </c>
      <c r="Q139" s="313">
        <v>0</v>
      </c>
      <c r="R139" s="313">
        <v>0</v>
      </c>
      <c r="S139" s="313">
        <v>0</v>
      </c>
      <c r="W139" s="313">
        <v>0</v>
      </c>
      <c r="AA139" s="313">
        <v>0</v>
      </c>
      <c r="AB139" s="313">
        <v>0</v>
      </c>
      <c r="AC139" s="313">
        <v>0</v>
      </c>
      <c r="AD139" s="313">
        <v>0</v>
      </c>
      <c r="AE139" s="313">
        <v>0</v>
      </c>
      <c r="AG139" s="313">
        <v>0</v>
      </c>
      <c r="AK139" s="313">
        <v>0</v>
      </c>
      <c r="AO139" s="313">
        <v>0</v>
      </c>
      <c r="AP139" s="313">
        <v>0</v>
      </c>
      <c r="AQ139" s="313">
        <v>0</v>
      </c>
      <c r="AR139" s="313">
        <v>0</v>
      </c>
      <c r="AS139" s="313">
        <v>0</v>
      </c>
      <c r="AT139" s="313">
        <v>0</v>
      </c>
      <c r="AX139" s="313">
        <v>0</v>
      </c>
      <c r="BB139" s="313">
        <v>0</v>
      </c>
      <c r="BC139" s="313">
        <v>0</v>
      </c>
      <c r="BD139" s="313">
        <v>0</v>
      </c>
      <c r="BE139" s="313">
        <v>0</v>
      </c>
      <c r="BF139" s="313">
        <v>0</v>
      </c>
      <c r="BH139" s="313">
        <v>0</v>
      </c>
      <c r="BL139" s="313">
        <v>0</v>
      </c>
    </row>
    <row r="140" spans="1:65">
      <c r="A140" s="313" t="s">
        <v>544</v>
      </c>
      <c r="B140" s="313">
        <v>0</v>
      </c>
      <c r="C140" s="313">
        <v>0</v>
      </c>
      <c r="D140" s="313">
        <v>0</v>
      </c>
      <c r="E140" s="313">
        <v>0</v>
      </c>
      <c r="F140" s="313">
        <v>0</v>
      </c>
      <c r="G140" s="313">
        <v>0</v>
      </c>
      <c r="J140" s="313">
        <v>0</v>
      </c>
      <c r="N140" s="313">
        <v>0</v>
      </c>
      <c r="O140" s="313">
        <v>0</v>
      </c>
      <c r="P140" s="313">
        <v>0</v>
      </c>
      <c r="Q140" s="313">
        <v>0</v>
      </c>
      <c r="R140" s="313">
        <v>0</v>
      </c>
      <c r="S140" s="313">
        <v>0</v>
      </c>
      <c r="W140" s="313">
        <v>532.28713700000003</v>
      </c>
      <c r="AA140" s="313">
        <v>0</v>
      </c>
      <c r="AB140" s="313">
        <v>0</v>
      </c>
      <c r="AC140" s="313">
        <v>0</v>
      </c>
      <c r="AD140" s="313">
        <v>0</v>
      </c>
      <c r="AE140" s="313">
        <v>0</v>
      </c>
      <c r="AG140" s="313">
        <v>0</v>
      </c>
      <c r="AK140" s="313">
        <v>5569.8750439999994</v>
      </c>
      <c r="AO140" s="313">
        <v>0</v>
      </c>
      <c r="AP140" s="313">
        <v>0</v>
      </c>
      <c r="AQ140" s="313">
        <v>0</v>
      </c>
      <c r="AR140" s="313">
        <v>0</v>
      </c>
      <c r="AS140" s="313">
        <v>0</v>
      </c>
      <c r="AT140" s="313">
        <v>0</v>
      </c>
      <c r="AX140" s="313">
        <v>1171.7731859999999</v>
      </c>
      <c r="BB140" s="313">
        <v>0</v>
      </c>
      <c r="BC140" s="313">
        <v>0</v>
      </c>
      <c r="BD140" s="313">
        <v>0</v>
      </c>
      <c r="BE140" s="313">
        <v>0</v>
      </c>
      <c r="BF140" s="313">
        <v>0</v>
      </c>
      <c r="BH140" s="313">
        <v>0</v>
      </c>
      <c r="BL140" s="313">
        <v>2874.1780269999999</v>
      </c>
    </row>
    <row r="141" spans="1:65">
      <c r="A141" s="313" t="s">
        <v>545</v>
      </c>
      <c r="B141" s="313">
        <v>924.48838599999999</v>
      </c>
      <c r="C141" s="313">
        <v>838.68873399999995</v>
      </c>
      <c r="D141" s="313">
        <v>946.19579600000009</v>
      </c>
      <c r="E141" s="313">
        <v>4965.6638640000001</v>
      </c>
      <c r="F141" s="313">
        <v>4900.1161090000005</v>
      </c>
      <c r="G141" s="313">
        <v>5207.1057469999996</v>
      </c>
      <c r="J141" s="313">
        <v>4849.233561</v>
      </c>
      <c r="N141" s="313">
        <v>78.710895999999991</v>
      </c>
      <c r="O141" s="313">
        <v>148.277851</v>
      </c>
      <c r="P141" s="313">
        <v>127.93312</v>
      </c>
      <c r="Q141" s="313">
        <v>866.65295199999991</v>
      </c>
      <c r="R141" s="313">
        <v>1741.73352</v>
      </c>
      <c r="S141" s="313">
        <v>2611.5549960000003</v>
      </c>
      <c r="W141" s="313">
        <v>2082.542606</v>
      </c>
      <c r="AA141" s="313">
        <v>20926.450763000001</v>
      </c>
      <c r="AB141" s="313">
        <v>21241.078591999998</v>
      </c>
      <c r="AC141" s="313">
        <v>21889.832668999999</v>
      </c>
      <c r="AD141" s="313">
        <v>21777.656731999999</v>
      </c>
      <c r="AE141" s="313">
        <v>22164.635607</v>
      </c>
      <c r="AG141" s="313">
        <v>24556.729316000001</v>
      </c>
      <c r="AK141" s="313">
        <v>26204.128691999998</v>
      </c>
      <c r="AO141" s="313">
        <v>22309.539986</v>
      </c>
      <c r="AP141" s="313">
        <v>37639.294547000005</v>
      </c>
      <c r="AQ141" s="313">
        <v>37789.174760000002</v>
      </c>
      <c r="AR141" s="313">
        <v>77869.461525000006</v>
      </c>
      <c r="AS141" s="313">
        <v>97856.665067999988</v>
      </c>
      <c r="AT141" s="313">
        <v>114232.93374600001</v>
      </c>
      <c r="AX141" s="313">
        <v>115404.87229500001</v>
      </c>
      <c r="BB141" s="313">
        <v>1408.3915910000001</v>
      </c>
      <c r="BC141" s="313">
        <v>2473.925808</v>
      </c>
      <c r="BD141" s="313">
        <v>1692.896902</v>
      </c>
      <c r="BE141" s="313">
        <v>1713.8257899999999</v>
      </c>
      <c r="BF141" s="313">
        <v>1848.0715870000001</v>
      </c>
      <c r="BH141" s="313">
        <v>3114.445483</v>
      </c>
      <c r="BL141" s="313">
        <v>5328.6267749999997</v>
      </c>
    </row>
    <row r="142" spans="1:65">
      <c r="A142" s="313" t="s">
        <v>546</v>
      </c>
      <c r="B142" s="313">
        <v>0</v>
      </c>
      <c r="C142" s="313">
        <v>0</v>
      </c>
      <c r="D142" s="313">
        <v>0</v>
      </c>
      <c r="E142" s="313">
        <v>0</v>
      </c>
      <c r="F142" s="313">
        <v>213.72578100000001</v>
      </c>
      <c r="G142" s="313">
        <v>0</v>
      </c>
      <c r="H142" s="313">
        <v>0</v>
      </c>
      <c r="J142" s="313">
        <v>1681.8275489999999</v>
      </c>
      <c r="K142" s="313">
        <v>1681.8275489999999</v>
      </c>
      <c r="N142" s="313">
        <v>0</v>
      </c>
      <c r="O142" s="313">
        <v>0</v>
      </c>
      <c r="P142" s="313">
        <v>90.261094</v>
      </c>
      <c r="Q142" s="313">
        <v>474.5292</v>
      </c>
      <c r="R142" s="313">
        <v>1459.0781789999999</v>
      </c>
      <c r="S142" s="313">
        <v>4829.9225399999996</v>
      </c>
      <c r="T142" s="313">
        <v>4829.9225399999996</v>
      </c>
      <c r="W142" s="313">
        <v>8923.8864650000014</v>
      </c>
      <c r="X142" s="313">
        <v>8923.8864650000014</v>
      </c>
      <c r="AA142" s="313">
        <v>8087.1050279999999</v>
      </c>
      <c r="AB142" s="313">
        <v>9539.3515230000012</v>
      </c>
      <c r="AC142" s="313">
        <v>9566.0153659999996</v>
      </c>
      <c r="AD142" s="313">
        <v>10397.062792000001</v>
      </c>
      <c r="AE142" s="313">
        <v>10371.442843000001</v>
      </c>
      <c r="AG142" s="313">
        <v>9253.4528739999987</v>
      </c>
      <c r="AH142" s="313">
        <v>9253.4528739999987</v>
      </c>
      <c r="AK142" s="313">
        <v>7348.5781290000004</v>
      </c>
      <c r="AL142" s="313">
        <v>7348.5781290000004</v>
      </c>
      <c r="AO142" s="313">
        <v>13224.772863</v>
      </c>
      <c r="AP142" s="313">
        <v>4619.3667150000001</v>
      </c>
      <c r="AQ142" s="313">
        <v>26877.609751999997</v>
      </c>
      <c r="AR142" s="313">
        <v>20504.810738999997</v>
      </c>
      <c r="AS142" s="313">
        <v>38684.738674</v>
      </c>
      <c r="AT142" s="313">
        <v>49728.494937000003</v>
      </c>
      <c r="AU142" s="313">
        <v>49728.494937000003</v>
      </c>
      <c r="AX142" s="313">
        <v>61270.558227000001</v>
      </c>
      <c r="AY142" s="313">
        <v>61270.558227000001</v>
      </c>
      <c r="BB142" s="313">
        <v>1027.8252500000001</v>
      </c>
      <c r="BC142" s="313">
        <v>0</v>
      </c>
      <c r="BD142" s="313">
        <v>0</v>
      </c>
      <c r="BE142" s="313">
        <v>0</v>
      </c>
      <c r="BF142" s="313">
        <v>0</v>
      </c>
      <c r="BH142" s="313">
        <v>2645.7575999999999</v>
      </c>
      <c r="BI142" s="313">
        <v>2645.7575999999999</v>
      </c>
      <c r="BL142" s="313">
        <v>6360.0531329999994</v>
      </c>
      <c r="BM142" s="313">
        <v>6360.0531329999994</v>
      </c>
    </row>
    <row r="143" spans="1:65">
      <c r="A143" s="313" t="s">
        <v>547</v>
      </c>
      <c r="B143" s="313">
        <v>0</v>
      </c>
      <c r="C143" s="313">
        <v>0</v>
      </c>
      <c r="D143" s="313">
        <v>0</v>
      </c>
      <c r="E143" s="313">
        <v>57881.421402</v>
      </c>
      <c r="F143" s="313">
        <v>57881.421402</v>
      </c>
      <c r="G143" s="313">
        <v>36753.178431</v>
      </c>
      <c r="J143" s="313">
        <v>36753.178431</v>
      </c>
      <c r="N143" s="313">
        <v>0</v>
      </c>
      <c r="O143" s="313">
        <v>0</v>
      </c>
      <c r="P143" s="313">
        <v>0</v>
      </c>
      <c r="Q143" s="313">
        <v>1156.046912</v>
      </c>
      <c r="R143" s="313">
        <v>941.53096700000003</v>
      </c>
      <c r="S143" s="313">
        <v>690.46471799999995</v>
      </c>
      <c r="W143" s="313">
        <v>690.46471799999995</v>
      </c>
      <c r="AA143" s="313">
        <v>4223.4395520000007</v>
      </c>
      <c r="AB143" s="313">
        <v>4223.4395520000007</v>
      </c>
      <c r="AC143" s="313">
        <v>65399.991324000002</v>
      </c>
      <c r="AD143" s="313">
        <v>65399.991324000002</v>
      </c>
      <c r="AE143" s="313">
        <v>65399.991324000002</v>
      </c>
      <c r="AG143" s="313">
        <v>65399.991324000002</v>
      </c>
      <c r="AK143" s="313">
        <v>65399.991324000002</v>
      </c>
      <c r="AO143" s="313">
        <v>96306.347964999994</v>
      </c>
      <c r="AP143" s="313">
        <v>97665.334845000005</v>
      </c>
      <c r="AQ143" s="313">
        <v>97231.334845000005</v>
      </c>
      <c r="AR143" s="313">
        <v>102440.492143</v>
      </c>
      <c r="AS143" s="313">
        <v>99395.579188000003</v>
      </c>
      <c r="AT143" s="313">
        <v>93984.200723999995</v>
      </c>
      <c r="AX143" s="313">
        <v>93984.200723999995</v>
      </c>
      <c r="BB143" s="313">
        <v>42782.387802999998</v>
      </c>
      <c r="BC143" s="313">
        <v>90699.947039999999</v>
      </c>
      <c r="BD143" s="313">
        <v>52218.217241999999</v>
      </c>
      <c r="BE143" s="313">
        <v>107705.36124200001</v>
      </c>
      <c r="BF143" s="313">
        <v>105948.69258800001</v>
      </c>
      <c r="BH143" s="313">
        <v>105948.69258800001</v>
      </c>
      <c r="BL143" s="313">
        <v>105948.69258800001</v>
      </c>
    </row>
    <row r="144" spans="1:65">
      <c r="A144" s="313" t="s">
        <v>548</v>
      </c>
      <c r="B144" s="313">
        <v>16.404447000000001</v>
      </c>
      <c r="C144" s="313">
        <v>10.791119</v>
      </c>
      <c r="D144" s="313">
        <v>33.256065</v>
      </c>
      <c r="E144" s="313">
        <v>69.115456000000009</v>
      </c>
      <c r="F144" s="313">
        <v>145.748661</v>
      </c>
      <c r="G144" s="313">
        <v>59.598068999999995</v>
      </c>
      <c r="J144" s="313">
        <v>116.496599</v>
      </c>
      <c r="N144" s="313">
        <v>475.69155700000005</v>
      </c>
      <c r="O144" s="313">
        <v>265.72764100000001</v>
      </c>
      <c r="P144" s="313">
        <v>388.85241400000001</v>
      </c>
      <c r="Q144" s="313">
        <v>335.117278</v>
      </c>
      <c r="R144" s="313">
        <v>261.05935699999998</v>
      </c>
      <c r="S144" s="313">
        <v>235.36655400000001</v>
      </c>
      <c r="W144" s="313">
        <v>169.87950800000002</v>
      </c>
      <c r="AA144" s="313">
        <v>156.69912199999999</v>
      </c>
      <c r="AB144" s="313">
        <v>163.34411200000002</v>
      </c>
      <c r="AC144" s="313">
        <v>756.46871099999998</v>
      </c>
      <c r="AD144" s="313">
        <v>1725.9509440000002</v>
      </c>
      <c r="AE144" s="313">
        <v>1580.212262</v>
      </c>
      <c r="AG144" s="313">
        <v>1390.2789970000001</v>
      </c>
      <c r="AK144" s="313">
        <v>1166.5049670000001</v>
      </c>
      <c r="AO144" s="313">
        <v>0</v>
      </c>
      <c r="AP144" s="313">
        <v>2685.3223359999997</v>
      </c>
      <c r="AQ144" s="313">
        <v>3324.6266270000001</v>
      </c>
      <c r="AR144" s="313">
        <v>2932.3157170000004</v>
      </c>
      <c r="AS144" s="313">
        <v>2372.6776129999998</v>
      </c>
      <c r="AT144" s="313">
        <v>2054.2339529999999</v>
      </c>
      <c r="AX144" s="313">
        <v>1820.6742340000001</v>
      </c>
      <c r="BB144" s="313">
        <v>145.50061499999998</v>
      </c>
      <c r="BC144" s="313">
        <v>55.303582999999996</v>
      </c>
      <c r="BD144" s="313">
        <v>31.168508000000003</v>
      </c>
      <c r="BE144" s="313">
        <v>14.167496</v>
      </c>
      <c r="BF144" s="313">
        <v>0</v>
      </c>
      <c r="BH144" s="313">
        <v>742.766977</v>
      </c>
      <c r="BL144" s="313">
        <v>564.63127800000007</v>
      </c>
    </row>
    <row r="145" spans="1:66">
      <c r="A145" s="313" t="s">
        <v>549</v>
      </c>
      <c r="B145" s="313">
        <v>394.08135899999996</v>
      </c>
      <c r="C145" s="313">
        <v>938.39621999999997</v>
      </c>
      <c r="D145" s="313">
        <v>985.70192400000008</v>
      </c>
      <c r="E145" s="313">
        <v>1714.3727289999999</v>
      </c>
      <c r="F145" s="313">
        <v>2163.2949170000002</v>
      </c>
      <c r="G145" s="313">
        <v>2542.187367</v>
      </c>
      <c r="H145" s="313">
        <v>2542.187367</v>
      </c>
      <c r="I145" s="313" t="s">
        <v>854</v>
      </c>
      <c r="J145" s="313">
        <v>3481.6657530000002</v>
      </c>
      <c r="K145" s="313">
        <v>3481.6657530000002</v>
      </c>
      <c r="L145" s="313" t="s">
        <v>854</v>
      </c>
      <c r="N145" s="313">
        <v>577.40788699999996</v>
      </c>
      <c r="O145" s="313">
        <v>487.46105199999994</v>
      </c>
      <c r="P145" s="313">
        <v>500.04164800000007</v>
      </c>
      <c r="Q145" s="313">
        <v>521.409402</v>
      </c>
      <c r="R145" s="313">
        <v>529.59463700000003</v>
      </c>
      <c r="S145" s="313">
        <v>523.83333899999991</v>
      </c>
      <c r="T145" s="313">
        <v>523.83333899999991</v>
      </c>
      <c r="W145" s="313">
        <v>753.80444899999998</v>
      </c>
      <c r="X145" s="313">
        <v>753.80444899999998</v>
      </c>
      <c r="AA145" s="313">
        <v>2013.816225</v>
      </c>
      <c r="AB145" s="313">
        <v>3504.7227729999995</v>
      </c>
      <c r="AC145" s="313">
        <v>4366.8694560000004</v>
      </c>
      <c r="AD145" s="313">
        <v>4572.7476109999998</v>
      </c>
      <c r="AE145" s="313">
        <v>5054.9305279999999</v>
      </c>
      <c r="AG145" s="313">
        <v>5620.4911490000004</v>
      </c>
      <c r="AH145" s="313">
        <v>5620.4911490000004</v>
      </c>
      <c r="AK145" s="313">
        <v>5694.1799179999998</v>
      </c>
      <c r="AL145" s="313">
        <v>5694.1799179999998</v>
      </c>
      <c r="AO145" s="313">
        <v>619.17902000000004</v>
      </c>
      <c r="AP145" s="313">
        <v>610.75932499999999</v>
      </c>
      <c r="AQ145" s="313">
        <v>861.24699099999998</v>
      </c>
      <c r="AR145" s="313">
        <v>1961.6826870000002</v>
      </c>
      <c r="AS145" s="313">
        <v>2972.95604</v>
      </c>
      <c r="AT145" s="313">
        <v>3681.0802409999997</v>
      </c>
      <c r="AU145" s="313">
        <v>3681.0802409999997</v>
      </c>
      <c r="AX145" s="313">
        <v>3840.5502409999995</v>
      </c>
      <c r="AY145" s="313">
        <v>3840.5502409999995</v>
      </c>
      <c r="BB145" s="313">
        <v>1155.6514520000001</v>
      </c>
      <c r="BC145" s="313">
        <v>1246.6118039999999</v>
      </c>
      <c r="BD145" s="313">
        <v>1302.9835009999999</v>
      </c>
      <c r="BE145" s="313">
        <v>1536.372059</v>
      </c>
      <c r="BF145" s="313">
        <v>3641.5569490000003</v>
      </c>
      <c r="BH145" s="313">
        <v>4542.3569500000003</v>
      </c>
      <c r="BI145" s="313">
        <v>4542.3569500000003</v>
      </c>
      <c r="BL145" s="313">
        <v>6352.0571970000001</v>
      </c>
      <c r="BM145" s="313">
        <v>6352.0571970000001</v>
      </c>
    </row>
    <row r="146" spans="1:66">
      <c r="A146" s="313" t="s">
        <v>550</v>
      </c>
      <c r="B146" s="313">
        <v>788.88502900000003</v>
      </c>
      <c r="C146" s="313">
        <v>13.974399999999999</v>
      </c>
      <c r="D146" s="313">
        <v>0</v>
      </c>
      <c r="E146" s="313">
        <v>1049.7004460000001</v>
      </c>
      <c r="F146" s="313">
        <v>28.123228000000005</v>
      </c>
      <c r="G146" s="313">
        <v>569.60034599999994</v>
      </c>
      <c r="H146" s="313">
        <v>208.44841700000001</v>
      </c>
      <c r="I146" s="313" t="s">
        <v>855</v>
      </c>
      <c r="J146" s="313">
        <v>1082.3074689999999</v>
      </c>
      <c r="K146" s="313">
        <v>570.30746899999986</v>
      </c>
      <c r="L146" s="313" t="s">
        <v>855</v>
      </c>
      <c r="N146" s="313">
        <v>0</v>
      </c>
      <c r="O146" s="313">
        <v>0</v>
      </c>
      <c r="P146" s="313">
        <v>0</v>
      </c>
      <c r="Q146" s="313">
        <v>630.89064199999996</v>
      </c>
      <c r="R146" s="313">
        <v>31084.379348000002</v>
      </c>
      <c r="S146" s="313">
        <v>24.641214999999999</v>
      </c>
      <c r="T146" s="313">
        <v>24.641214999999999</v>
      </c>
      <c r="U146" s="313" t="s">
        <v>856</v>
      </c>
      <c r="W146" s="313">
        <v>309.293654</v>
      </c>
      <c r="X146" s="313">
        <v>309.293654</v>
      </c>
      <c r="Y146" s="313" t="s">
        <v>856</v>
      </c>
      <c r="AA146" s="313">
        <v>0</v>
      </c>
      <c r="AB146" s="313">
        <v>11487.998837000001</v>
      </c>
      <c r="AC146" s="313">
        <v>8201.9346910000004</v>
      </c>
      <c r="AD146" s="313">
        <v>87.856487999999999</v>
      </c>
      <c r="AE146" s="313">
        <v>4187.1149750000004</v>
      </c>
      <c r="AG146" s="313">
        <v>5062.6833900000001</v>
      </c>
      <c r="AH146" s="313">
        <v>5062.6833900000001</v>
      </c>
      <c r="AI146" s="313" t="s">
        <v>857</v>
      </c>
      <c r="AK146" s="313">
        <v>5645.7635</v>
      </c>
      <c r="AL146" s="313">
        <v>5645.7635</v>
      </c>
      <c r="AM146" s="313" t="s">
        <v>857</v>
      </c>
      <c r="AO146" s="313">
        <v>0</v>
      </c>
      <c r="AP146" s="313">
        <v>0</v>
      </c>
      <c r="AQ146" s="313">
        <v>0</v>
      </c>
      <c r="AR146" s="313">
        <v>1107.764085</v>
      </c>
      <c r="AS146" s="313">
        <v>10931.268332</v>
      </c>
      <c r="AT146" s="313">
        <v>11793.7883</v>
      </c>
      <c r="AU146" s="313">
        <v>11793.7883</v>
      </c>
      <c r="AV146" s="313" t="s">
        <v>858</v>
      </c>
      <c r="AX146" s="313">
        <v>17686.611219999999</v>
      </c>
      <c r="AY146" s="313">
        <v>17686.611219999999</v>
      </c>
      <c r="AZ146" s="313" t="s">
        <v>859</v>
      </c>
      <c r="BB146" s="313">
        <v>0</v>
      </c>
      <c r="BC146" s="313">
        <v>0</v>
      </c>
      <c r="BD146" s="313">
        <v>0</v>
      </c>
      <c r="BE146" s="313">
        <v>7880.6592980000005</v>
      </c>
      <c r="BF146" s="313">
        <v>133.55575200000001</v>
      </c>
      <c r="BH146" s="313">
        <v>676.93507999999997</v>
      </c>
      <c r="BI146" s="313">
        <v>676.93507999999997</v>
      </c>
      <c r="BJ146" s="313" t="s">
        <v>860</v>
      </c>
      <c r="BL146" s="313">
        <v>70.143931000000009</v>
      </c>
      <c r="BM146" s="313">
        <v>70.143931000000009</v>
      </c>
      <c r="BN146" s="313" t="s">
        <v>860</v>
      </c>
    </row>
    <row r="147" spans="1:66">
      <c r="A147" s="313" t="s">
        <v>551</v>
      </c>
      <c r="B147" s="313">
        <v>0</v>
      </c>
      <c r="C147" s="313">
        <v>0</v>
      </c>
      <c r="D147" s="313">
        <v>0</v>
      </c>
      <c r="E147" s="313">
        <v>0</v>
      </c>
      <c r="F147" s="313">
        <v>0</v>
      </c>
      <c r="G147" s="313">
        <v>0</v>
      </c>
      <c r="J147" s="313">
        <v>0</v>
      </c>
      <c r="N147" s="313">
        <v>0</v>
      </c>
      <c r="O147" s="313">
        <v>0</v>
      </c>
      <c r="P147" s="313">
        <v>0</v>
      </c>
      <c r="Q147" s="313">
        <v>0</v>
      </c>
      <c r="R147" s="313">
        <v>0</v>
      </c>
      <c r="S147" s="313">
        <v>0</v>
      </c>
      <c r="W147" s="313">
        <v>0</v>
      </c>
      <c r="AA147" s="313">
        <v>0</v>
      </c>
      <c r="AB147" s="313">
        <v>0</v>
      </c>
      <c r="AC147" s="313">
        <v>0</v>
      </c>
      <c r="AD147" s="313">
        <v>0</v>
      </c>
      <c r="AE147" s="313">
        <v>0</v>
      </c>
      <c r="AG147" s="313">
        <v>0</v>
      </c>
      <c r="AK147" s="313">
        <v>0</v>
      </c>
      <c r="AO147" s="313">
        <v>0</v>
      </c>
      <c r="AP147" s="313">
        <v>0</v>
      </c>
      <c r="AQ147" s="313">
        <v>0</v>
      </c>
      <c r="AR147" s="313">
        <v>0</v>
      </c>
      <c r="AS147" s="313">
        <v>0</v>
      </c>
      <c r="AT147" s="313">
        <v>0</v>
      </c>
      <c r="AX147" s="313">
        <v>0</v>
      </c>
      <c r="BB147" s="313">
        <v>0</v>
      </c>
      <c r="BC147" s="313">
        <v>0</v>
      </c>
      <c r="BD147" s="313">
        <v>0</v>
      </c>
      <c r="BE147" s="313">
        <v>0</v>
      </c>
      <c r="BF147" s="313">
        <v>0</v>
      </c>
      <c r="BH147" s="313">
        <v>0</v>
      </c>
      <c r="BL147" s="313">
        <v>0</v>
      </c>
    </row>
    <row r="148" spans="1:66">
      <c r="A148" s="313" t="s">
        <v>552</v>
      </c>
      <c r="B148" s="313">
        <v>0</v>
      </c>
      <c r="C148" s="313">
        <v>0</v>
      </c>
      <c r="D148" s="313">
        <v>0</v>
      </c>
      <c r="E148" s="313">
        <v>0</v>
      </c>
      <c r="F148" s="313">
        <v>0</v>
      </c>
      <c r="G148" s="313">
        <v>0</v>
      </c>
      <c r="J148" s="313">
        <v>0</v>
      </c>
      <c r="N148" s="313">
        <v>0</v>
      </c>
      <c r="O148" s="313">
        <v>0</v>
      </c>
      <c r="P148" s="313">
        <v>0</v>
      </c>
      <c r="Q148" s="313">
        <v>0</v>
      </c>
      <c r="R148" s="313">
        <v>0</v>
      </c>
      <c r="S148" s="313">
        <v>0</v>
      </c>
      <c r="W148" s="313">
        <v>0</v>
      </c>
      <c r="AA148" s="313">
        <v>0</v>
      </c>
      <c r="AB148" s="313">
        <v>0</v>
      </c>
      <c r="AC148" s="313">
        <v>0</v>
      </c>
      <c r="AD148" s="313">
        <v>0</v>
      </c>
      <c r="AE148" s="313">
        <v>0</v>
      </c>
      <c r="AG148" s="313">
        <v>0</v>
      </c>
      <c r="AK148" s="313">
        <v>0</v>
      </c>
      <c r="AO148" s="313">
        <v>0</v>
      </c>
      <c r="AP148" s="313">
        <v>0</v>
      </c>
      <c r="AQ148" s="313">
        <v>0</v>
      </c>
      <c r="AR148" s="313">
        <v>0</v>
      </c>
      <c r="AS148" s="313">
        <v>0</v>
      </c>
      <c r="AT148" s="313">
        <v>0</v>
      </c>
      <c r="AX148" s="313">
        <v>0</v>
      </c>
      <c r="BB148" s="313">
        <v>0</v>
      </c>
      <c r="BC148" s="313">
        <v>0</v>
      </c>
      <c r="BD148" s="313">
        <v>0</v>
      </c>
      <c r="BE148" s="313">
        <v>0</v>
      </c>
      <c r="BF148" s="313">
        <v>0</v>
      </c>
      <c r="BH148" s="313">
        <v>0</v>
      </c>
      <c r="BL148" s="313">
        <v>0</v>
      </c>
    </row>
    <row r="149" spans="1:66">
      <c r="A149" s="333" t="s">
        <v>553</v>
      </c>
      <c r="B149" s="333">
        <v>6650.4180909999995</v>
      </c>
      <c r="C149" s="333">
        <v>10883.699451999999</v>
      </c>
      <c r="D149" s="333">
        <v>15266.109971000002</v>
      </c>
      <c r="E149" s="333">
        <v>97154.076675999997</v>
      </c>
      <c r="F149" s="333">
        <v>121469.485374</v>
      </c>
      <c r="G149" s="333">
        <v>107703.56866199999</v>
      </c>
      <c r="H149" s="333">
        <v>50741.692320999995</v>
      </c>
      <c r="I149" s="333"/>
      <c r="J149" s="333">
        <v>124116.45882999999</v>
      </c>
      <c r="K149" s="333">
        <v>53197.991751000009</v>
      </c>
      <c r="L149" s="333"/>
      <c r="M149" s="333"/>
      <c r="N149" s="333">
        <v>3111.2235179999998</v>
      </c>
      <c r="O149" s="333">
        <v>2870.2892870000001</v>
      </c>
      <c r="P149" s="333">
        <v>7209.1366440000002</v>
      </c>
      <c r="Q149" s="333">
        <v>15915.728750999999</v>
      </c>
      <c r="R149" s="333">
        <v>55184.082279999995</v>
      </c>
      <c r="S149" s="333">
        <v>63428.912927999998</v>
      </c>
      <c r="T149" s="333">
        <v>13502.184577</v>
      </c>
      <c r="U149" s="333"/>
      <c r="V149" s="333"/>
      <c r="W149" s="333">
        <v>67566.86804500001</v>
      </c>
      <c r="X149" s="333">
        <v>18619.005911000004</v>
      </c>
      <c r="Y149" s="333"/>
      <c r="Z149" s="333"/>
      <c r="AA149" s="333">
        <v>79468.713099000001</v>
      </c>
      <c r="AB149" s="333">
        <v>94367.509774000006</v>
      </c>
      <c r="AC149" s="333">
        <v>163017.24525499999</v>
      </c>
      <c r="AD149" s="333">
        <v>169161.294883</v>
      </c>
      <c r="AE149" s="333">
        <v>179754.467</v>
      </c>
      <c r="AF149" s="333"/>
      <c r="AG149" s="333">
        <v>183556.34819700001</v>
      </c>
      <c r="AH149" s="333">
        <v>61884.093932999996</v>
      </c>
      <c r="AI149" s="333"/>
      <c r="AJ149" s="333"/>
      <c r="AK149" s="333">
        <v>190052.366935</v>
      </c>
      <c r="AL149" s="333">
        <v>62273.762280999996</v>
      </c>
      <c r="AM149" s="333"/>
      <c r="AN149" s="333"/>
      <c r="AO149" s="333">
        <v>150369.17152899998</v>
      </c>
      <c r="AP149" s="333">
        <v>177353.82810699998</v>
      </c>
      <c r="AQ149" s="333">
        <v>209165.107174</v>
      </c>
      <c r="AR149" s="333">
        <v>282341.11165600002</v>
      </c>
      <c r="AS149" s="333">
        <v>336269.91545700002</v>
      </c>
      <c r="AT149" s="333">
        <v>373981.438761</v>
      </c>
      <c r="AU149" s="333">
        <v>127131.453633</v>
      </c>
      <c r="AV149" s="333"/>
      <c r="AW149" s="333"/>
      <c r="AX149" s="333">
        <v>401172.75297600002</v>
      </c>
      <c r="AY149" s="333">
        <v>154269.36775099998</v>
      </c>
      <c r="AZ149" s="333"/>
      <c r="BA149" s="333"/>
      <c r="BB149" s="333">
        <v>47101.702977000001</v>
      </c>
      <c r="BC149" s="333">
        <v>95013.65625700001</v>
      </c>
      <c r="BD149" s="333">
        <v>61248.684580999994</v>
      </c>
      <c r="BE149" s="333">
        <v>126035.939469</v>
      </c>
      <c r="BF149" s="333">
        <v>129436.98414000002</v>
      </c>
      <c r="BG149" s="333"/>
      <c r="BH149" s="333">
        <v>137536.47193900001</v>
      </c>
      <c r="BI149" s="333">
        <v>17608.427468000002</v>
      </c>
      <c r="BJ149" s="333"/>
      <c r="BK149" s="333"/>
      <c r="BL149" s="333">
        <v>155072.932818</v>
      </c>
      <c r="BM149" s="333">
        <v>27536.048675999999</v>
      </c>
      <c r="BN149" s="333"/>
    </row>
    <row r="150" spans="1:66">
      <c r="A150" s="313" t="s">
        <v>554</v>
      </c>
      <c r="B150" s="313">
        <v>0</v>
      </c>
      <c r="C150" s="313">
        <v>0</v>
      </c>
      <c r="D150" s="313">
        <v>0</v>
      </c>
      <c r="E150" s="313">
        <v>0</v>
      </c>
      <c r="F150" s="313">
        <v>0</v>
      </c>
      <c r="G150" s="313">
        <v>0</v>
      </c>
      <c r="J150" s="313">
        <v>0</v>
      </c>
      <c r="N150" s="313">
        <v>0</v>
      </c>
      <c r="O150" s="313">
        <v>0</v>
      </c>
      <c r="P150" s="313">
        <v>0</v>
      </c>
      <c r="Q150" s="313">
        <v>0</v>
      </c>
      <c r="R150" s="313">
        <v>0</v>
      </c>
      <c r="S150" s="313">
        <v>0</v>
      </c>
      <c r="W150" s="313">
        <v>0</v>
      </c>
      <c r="AA150" s="313">
        <v>0</v>
      </c>
      <c r="AB150" s="313">
        <v>0</v>
      </c>
      <c r="AC150" s="313">
        <v>0</v>
      </c>
      <c r="AD150" s="313">
        <v>0</v>
      </c>
      <c r="AE150" s="313">
        <v>0</v>
      </c>
      <c r="AG150" s="313">
        <v>0</v>
      </c>
      <c r="AK150" s="313">
        <v>0</v>
      </c>
      <c r="AO150" s="313">
        <v>0</v>
      </c>
      <c r="AP150" s="313">
        <v>0</v>
      </c>
      <c r="AQ150" s="313">
        <v>0</v>
      </c>
      <c r="AR150" s="313">
        <v>0</v>
      </c>
      <c r="AS150" s="313">
        <v>0</v>
      </c>
      <c r="AT150" s="313">
        <v>0</v>
      </c>
      <c r="AX150" s="313">
        <v>0</v>
      </c>
      <c r="BB150" s="313">
        <v>0</v>
      </c>
      <c r="BC150" s="313">
        <v>0</v>
      </c>
      <c r="BD150" s="313">
        <v>0</v>
      </c>
      <c r="BE150" s="313">
        <v>0</v>
      </c>
      <c r="BF150" s="313">
        <v>0</v>
      </c>
      <c r="BH150" s="313">
        <v>0</v>
      </c>
      <c r="BL150" s="313">
        <v>0</v>
      </c>
    </row>
    <row r="151" spans="1:66">
      <c r="A151" s="313" t="s">
        <v>555</v>
      </c>
      <c r="B151" s="313">
        <v>0</v>
      </c>
      <c r="C151" s="313">
        <v>0</v>
      </c>
      <c r="D151" s="313">
        <v>0</v>
      </c>
      <c r="E151" s="313">
        <v>0</v>
      </c>
      <c r="F151" s="313">
        <v>0</v>
      </c>
      <c r="G151" s="313">
        <v>0</v>
      </c>
      <c r="J151" s="313">
        <v>0</v>
      </c>
      <c r="N151" s="313">
        <v>0</v>
      </c>
      <c r="O151" s="313">
        <v>0</v>
      </c>
      <c r="P151" s="313">
        <v>0</v>
      </c>
      <c r="Q151" s="313">
        <v>0</v>
      </c>
      <c r="R151" s="313">
        <v>0</v>
      </c>
      <c r="S151" s="313">
        <v>0</v>
      </c>
      <c r="W151" s="313">
        <v>0</v>
      </c>
      <c r="AA151" s="313">
        <v>0</v>
      </c>
      <c r="AB151" s="313">
        <v>0</v>
      </c>
      <c r="AC151" s="313">
        <v>0</v>
      </c>
      <c r="AD151" s="313">
        <v>0</v>
      </c>
      <c r="AE151" s="313">
        <v>0</v>
      </c>
      <c r="AG151" s="313">
        <v>0</v>
      </c>
      <c r="AK151" s="313">
        <v>0</v>
      </c>
      <c r="AO151" s="313">
        <v>0</v>
      </c>
      <c r="AP151" s="313">
        <v>0</v>
      </c>
      <c r="AQ151" s="313">
        <v>0</v>
      </c>
      <c r="AR151" s="313">
        <v>0</v>
      </c>
      <c r="AS151" s="313">
        <v>0</v>
      </c>
      <c r="AT151" s="313">
        <v>0</v>
      </c>
      <c r="AX151" s="313">
        <v>0</v>
      </c>
      <c r="BB151" s="313">
        <v>0</v>
      </c>
      <c r="BC151" s="313">
        <v>0</v>
      </c>
      <c r="BD151" s="313">
        <v>0</v>
      </c>
      <c r="BE151" s="313">
        <v>0</v>
      </c>
      <c r="BF151" s="313">
        <v>0</v>
      </c>
      <c r="BH151" s="313">
        <v>0</v>
      </c>
      <c r="BL151" s="313">
        <v>0</v>
      </c>
    </row>
    <row r="152" spans="1:66">
      <c r="A152" s="333" t="s">
        <v>556</v>
      </c>
      <c r="B152" s="333">
        <v>46506.753552989998</v>
      </c>
      <c r="C152" s="333">
        <v>103386.145546</v>
      </c>
      <c r="D152" s="333">
        <v>126333.34669100001</v>
      </c>
      <c r="E152" s="333">
        <v>212544.609795</v>
      </c>
      <c r="F152" s="333">
        <v>270928.56525100005</v>
      </c>
      <c r="G152" s="333">
        <v>263310.77522698999</v>
      </c>
      <c r="H152" s="333">
        <v>66104.515470999992</v>
      </c>
      <c r="I152" s="333"/>
      <c r="J152" s="333">
        <v>310805.36868800002</v>
      </c>
      <c r="K152" s="333">
        <v>68672.978388000003</v>
      </c>
      <c r="L152" s="333"/>
      <c r="M152" s="333"/>
      <c r="N152" s="333">
        <v>66778.047452989995</v>
      </c>
      <c r="O152" s="333">
        <v>74128.552161</v>
      </c>
      <c r="P152" s="333">
        <v>96433.117263990003</v>
      </c>
      <c r="Q152" s="333">
        <v>119599.902224</v>
      </c>
      <c r="R152" s="333">
        <v>161053.78305199</v>
      </c>
      <c r="S152" s="333">
        <v>173366.741519</v>
      </c>
      <c r="T152" s="333">
        <v>14934.363088</v>
      </c>
      <c r="U152" s="333"/>
      <c r="V152" s="333"/>
      <c r="W152" s="333">
        <v>179250.88316300002</v>
      </c>
      <c r="X152" s="333">
        <v>19758.335777000004</v>
      </c>
      <c r="Y152" s="333"/>
      <c r="Z152" s="333"/>
      <c r="AA152" s="333">
        <v>241727.84850500003</v>
      </c>
      <c r="AB152" s="333">
        <v>318273.48946300003</v>
      </c>
      <c r="AC152" s="333">
        <v>409501.42773200001</v>
      </c>
      <c r="AD152" s="333">
        <v>467893.12781499006</v>
      </c>
      <c r="AE152" s="333">
        <v>574043.47525100003</v>
      </c>
      <c r="AF152" s="333"/>
      <c r="AG152" s="333">
        <v>605384.17082399002</v>
      </c>
      <c r="AH152" s="333">
        <v>70025.841199000002</v>
      </c>
      <c r="AI152" s="333"/>
      <c r="AJ152" s="333"/>
      <c r="AK152" s="333">
        <v>569559.05766799999</v>
      </c>
      <c r="AL152" s="333">
        <v>67467.664630999992</v>
      </c>
      <c r="AM152" s="333"/>
      <c r="AN152" s="333"/>
      <c r="AO152" s="333">
        <v>282994.32157898997</v>
      </c>
      <c r="AP152" s="333">
        <v>493962.68897100003</v>
      </c>
      <c r="AQ152" s="333">
        <v>514655.29629300005</v>
      </c>
      <c r="AR152" s="333">
        <v>610626.21299399005</v>
      </c>
      <c r="AS152" s="333">
        <v>670250.70678800007</v>
      </c>
      <c r="AT152" s="333">
        <v>738205.04447600001</v>
      </c>
      <c r="AU152" s="333">
        <v>144556.78975900001</v>
      </c>
      <c r="AV152" s="333"/>
      <c r="AW152" s="333"/>
      <c r="AX152" s="333">
        <v>817599.32560698991</v>
      </c>
      <c r="AY152" s="333">
        <v>200244.71908399998</v>
      </c>
      <c r="AZ152" s="333"/>
      <c r="BA152" s="333"/>
      <c r="BB152" s="333">
        <v>92288.89314700001</v>
      </c>
      <c r="BC152" s="333">
        <v>196423.29091198999</v>
      </c>
      <c r="BD152" s="333">
        <v>156232.50142300001</v>
      </c>
      <c r="BE152" s="333">
        <v>203222.74183699</v>
      </c>
      <c r="BF152" s="333">
        <v>215622.309744</v>
      </c>
      <c r="BG152" s="333"/>
      <c r="BH152" s="333">
        <v>243290.63952800003</v>
      </c>
      <c r="BI152" s="333">
        <v>20702.741026000003</v>
      </c>
      <c r="BJ152" s="333"/>
      <c r="BK152" s="333"/>
      <c r="BL152" s="333">
        <v>238772.17223098999</v>
      </c>
      <c r="BM152" s="333">
        <v>29716.130700999998</v>
      </c>
      <c r="BN152" s="333"/>
    </row>
    <row r="153" spans="1:66">
      <c r="A153" s="333" t="s">
        <v>141</v>
      </c>
      <c r="B153" s="333"/>
      <c r="C153" s="333"/>
      <c r="D153" s="333"/>
      <c r="E153" s="333"/>
      <c r="F153" s="333"/>
      <c r="G153" s="333"/>
      <c r="H153" s="333"/>
      <c r="I153" s="333"/>
      <c r="J153" s="333"/>
      <c r="K153" s="333"/>
      <c r="L153" s="333"/>
      <c r="M153" s="333"/>
      <c r="N153" s="333"/>
      <c r="O153" s="333"/>
      <c r="P153" s="333"/>
      <c r="Q153" s="333"/>
      <c r="R153" s="333"/>
      <c r="S153" s="333"/>
      <c r="T153" s="333"/>
      <c r="U153" s="333"/>
      <c r="V153" s="333"/>
      <c r="W153" s="333"/>
      <c r="X153" s="333"/>
      <c r="Y153" s="333"/>
      <c r="Z153" s="333"/>
      <c r="AA153" s="333"/>
      <c r="AB153" s="333"/>
      <c r="AC153" s="333"/>
      <c r="AD153" s="333"/>
      <c r="AE153" s="333"/>
      <c r="AF153" s="333"/>
      <c r="AG153" s="333"/>
      <c r="AH153" s="333"/>
      <c r="AI153" s="333"/>
      <c r="AJ153" s="333"/>
      <c r="AK153" s="333"/>
      <c r="AL153" s="333"/>
      <c r="AM153" s="333"/>
      <c r="AN153" s="333"/>
      <c r="AO153" s="333"/>
      <c r="AP153" s="333"/>
      <c r="AQ153" s="333"/>
      <c r="AR153" s="333"/>
      <c r="AS153" s="333"/>
      <c r="AT153" s="333"/>
      <c r="AU153" s="333"/>
      <c r="AV153" s="333"/>
      <c r="AW153" s="333"/>
      <c r="AX153" s="333"/>
      <c r="AY153" s="333"/>
      <c r="AZ153" s="333"/>
      <c r="BA153" s="333"/>
      <c r="BB153" s="333"/>
      <c r="BC153" s="333"/>
      <c r="BD153" s="333"/>
      <c r="BE153" s="333"/>
      <c r="BF153" s="333"/>
      <c r="BG153" s="333"/>
      <c r="BH153" s="333"/>
      <c r="BI153" s="333"/>
      <c r="BJ153" s="333"/>
      <c r="BK153" s="333"/>
      <c r="BL153" s="333"/>
      <c r="BM153" s="333"/>
      <c r="BN153" s="333"/>
    </row>
    <row r="154" spans="1:66" s="334" customFormat="1">
      <c r="A154" s="334" t="s">
        <v>557</v>
      </c>
      <c r="B154" s="334">
        <v>3900</v>
      </c>
      <c r="C154" s="334">
        <v>0</v>
      </c>
      <c r="D154" s="334">
        <v>16900</v>
      </c>
      <c r="E154" s="334">
        <v>18980</v>
      </c>
      <c r="F154" s="334">
        <v>31905.982255000003</v>
      </c>
      <c r="G154" s="334">
        <v>18022.717277</v>
      </c>
      <c r="I154" s="334">
        <v>18022.717277</v>
      </c>
      <c r="J154" s="334">
        <v>37942.636588000001</v>
      </c>
      <c r="L154" s="334">
        <v>37942.636588000001</v>
      </c>
      <c r="N154" s="334">
        <v>18000</v>
      </c>
      <c r="O154" s="334">
        <v>20000</v>
      </c>
      <c r="P154" s="334">
        <v>11500</v>
      </c>
      <c r="Q154" s="334">
        <v>24700</v>
      </c>
      <c r="R154" s="334">
        <v>47600</v>
      </c>
      <c r="S154" s="334">
        <v>29534.18</v>
      </c>
      <c r="U154" s="334">
        <v>29534.18</v>
      </c>
      <c r="W154" s="334">
        <v>42492.560303999999</v>
      </c>
      <c r="Y154" s="334">
        <v>42492.560303999999</v>
      </c>
      <c r="AA154" s="334">
        <v>74650</v>
      </c>
      <c r="AB154" s="334">
        <v>64500</v>
      </c>
      <c r="AC154" s="334">
        <v>68100</v>
      </c>
      <c r="AD154" s="334">
        <v>96600</v>
      </c>
      <c r="AE154" s="334">
        <v>203003.50493</v>
      </c>
      <c r="AG154" s="334">
        <v>213303.75468800002</v>
      </c>
      <c r="AI154" s="334">
        <v>213303.75468800002</v>
      </c>
      <c r="AK154" s="334">
        <v>146877.344641</v>
      </c>
      <c r="AM154" s="334">
        <v>146877.344641</v>
      </c>
      <c r="AO154" s="334">
        <v>37212</v>
      </c>
      <c r="AP154" s="334">
        <v>28200</v>
      </c>
      <c r="AQ154" s="334">
        <v>10253</v>
      </c>
      <c r="AR154" s="334">
        <v>41264.06</v>
      </c>
      <c r="AS154" s="334">
        <v>32194.1</v>
      </c>
      <c r="AT154" s="334">
        <v>44755</v>
      </c>
      <c r="AV154" s="334">
        <v>44755</v>
      </c>
      <c r="AX154" s="334">
        <v>62890.311767999992</v>
      </c>
      <c r="AZ154" s="334">
        <v>62890.311767999992</v>
      </c>
      <c r="BB154" s="334">
        <v>0</v>
      </c>
      <c r="BC154" s="334">
        <v>0</v>
      </c>
      <c r="BD154" s="334">
        <v>0</v>
      </c>
      <c r="BE154" s="334">
        <v>0</v>
      </c>
      <c r="BF154" s="334">
        <v>1016.8552089999999</v>
      </c>
      <c r="BH154" s="334">
        <v>0</v>
      </c>
      <c r="BJ154" s="334">
        <v>0</v>
      </c>
      <c r="BL154" s="334">
        <v>0</v>
      </c>
      <c r="BN154" s="334">
        <v>0</v>
      </c>
    </row>
    <row r="155" spans="1:66">
      <c r="A155" s="313" t="s">
        <v>558</v>
      </c>
      <c r="B155" s="313">
        <v>0</v>
      </c>
      <c r="C155" s="313">
        <v>0</v>
      </c>
      <c r="D155" s="313">
        <v>0</v>
      </c>
      <c r="E155" s="313">
        <v>0</v>
      </c>
      <c r="F155" s="313">
        <v>0</v>
      </c>
      <c r="G155" s="313">
        <v>0</v>
      </c>
      <c r="J155" s="313">
        <v>0</v>
      </c>
      <c r="N155" s="313">
        <v>0</v>
      </c>
      <c r="O155" s="313">
        <v>0</v>
      </c>
      <c r="P155" s="313">
        <v>0</v>
      </c>
      <c r="Q155" s="313">
        <v>0</v>
      </c>
      <c r="R155" s="313">
        <v>0</v>
      </c>
      <c r="S155" s="313">
        <v>0</v>
      </c>
      <c r="W155" s="313">
        <v>0</v>
      </c>
      <c r="AA155" s="313">
        <v>0</v>
      </c>
      <c r="AB155" s="313">
        <v>0</v>
      </c>
      <c r="AC155" s="313">
        <v>0</v>
      </c>
      <c r="AD155" s="313">
        <v>0</v>
      </c>
      <c r="AE155" s="313">
        <v>0</v>
      </c>
      <c r="AG155" s="313">
        <v>0</v>
      </c>
      <c r="AK155" s="313">
        <v>0</v>
      </c>
      <c r="AO155" s="313">
        <v>0</v>
      </c>
      <c r="AP155" s="313">
        <v>0</v>
      </c>
      <c r="AQ155" s="313">
        <v>0</v>
      </c>
      <c r="AR155" s="313">
        <v>0</v>
      </c>
      <c r="AS155" s="313">
        <v>0</v>
      </c>
      <c r="AT155" s="313">
        <v>0</v>
      </c>
      <c r="AX155" s="313">
        <v>0</v>
      </c>
      <c r="BB155" s="313">
        <v>0</v>
      </c>
      <c r="BC155" s="313">
        <v>0</v>
      </c>
      <c r="BD155" s="313">
        <v>0</v>
      </c>
      <c r="BE155" s="313">
        <v>0</v>
      </c>
      <c r="BF155" s="313">
        <v>0</v>
      </c>
      <c r="BH155" s="313">
        <v>0</v>
      </c>
      <c r="BL155" s="313">
        <v>0</v>
      </c>
    </row>
    <row r="156" spans="1:66">
      <c r="A156" s="313" t="s">
        <v>559</v>
      </c>
      <c r="B156" s="313">
        <v>0</v>
      </c>
      <c r="C156" s="313">
        <v>0</v>
      </c>
      <c r="D156" s="313">
        <v>0</v>
      </c>
      <c r="E156" s="313">
        <v>0</v>
      </c>
      <c r="F156" s="313">
        <v>0</v>
      </c>
      <c r="G156" s="313">
        <v>0</v>
      </c>
      <c r="J156" s="313">
        <v>0</v>
      </c>
      <c r="N156" s="313">
        <v>0</v>
      </c>
      <c r="O156" s="313">
        <v>0</v>
      </c>
      <c r="P156" s="313">
        <v>0</v>
      </c>
      <c r="Q156" s="313">
        <v>0</v>
      </c>
      <c r="R156" s="313">
        <v>0</v>
      </c>
      <c r="S156" s="313">
        <v>0</v>
      </c>
      <c r="W156" s="313">
        <v>0</v>
      </c>
      <c r="AA156" s="313">
        <v>0</v>
      </c>
      <c r="AB156" s="313">
        <v>0</v>
      </c>
      <c r="AC156" s="313">
        <v>0</v>
      </c>
      <c r="AD156" s="313">
        <v>0</v>
      </c>
      <c r="AE156" s="313">
        <v>0</v>
      </c>
      <c r="AG156" s="313">
        <v>0</v>
      </c>
      <c r="AK156" s="313">
        <v>0</v>
      </c>
      <c r="AO156" s="313">
        <v>0</v>
      </c>
      <c r="AP156" s="313">
        <v>0</v>
      </c>
      <c r="AQ156" s="313">
        <v>0</v>
      </c>
      <c r="AR156" s="313">
        <v>0</v>
      </c>
      <c r="AS156" s="313">
        <v>0</v>
      </c>
      <c r="AT156" s="313">
        <v>0</v>
      </c>
      <c r="AX156" s="313">
        <v>0</v>
      </c>
      <c r="BB156" s="313">
        <v>0</v>
      </c>
      <c r="BC156" s="313">
        <v>0</v>
      </c>
      <c r="BD156" s="313">
        <v>0</v>
      </c>
      <c r="BE156" s="313">
        <v>0</v>
      </c>
      <c r="BF156" s="313">
        <v>0</v>
      </c>
      <c r="BH156" s="313">
        <v>0</v>
      </c>
      <c r="BL156" s="313">
        <v>0</v>
      </c>
    </row>
    <row r="157" spans="1:66">
      <c r="A157" s="313" t="s">
        <v>560</v>
      </c>
      <c r="B157" s="313">
        <v>0</v>
      </c>
      <c r="C157" s="313">
        <v>0</v>
      </c>
      <c r="D157" s="313">
        <v>0</v>
      </c>
      <c r="E157" s="313">
        <v>0</v>
      </c>
      <c r="F157" s="313">
        <v>0</v>
      </c>
      <c r="G157" s="313">
        <v>0</v>
      </c>
      <c r="J157" s="313">
        <v>0</v>
      </c>
      <c r="N157" s="313">
        <v>0</v>
      </c>
      <c r="O157" s="313">
        <v>0</v>
      </c>
      <c r="P157" s="313">
        <v>0</v>
      </c>
      <c r="Q157" s="313">
        <v>0</v>
      </c>
      <c r="R157" s="313">
        <v>0</v>
      </c>
      <c r="S157" s="313">
        <v>0</v>
      </c>
      <c r="W157" s="313">
        <v>0</v>
      </c>
      <c r="AA157" s="313">
        <v>0</v>
      </c>
      <c r="AB157" s="313">
        <v>0</v>
      </c>
      <c r="AC157" s="313">
        <v>0</v>
      </c>
      <c r="AD157" s="313">
        <v>0</v>
      </c>
      <c r="AE157" s="313">
        <v>0</v>
      </c>
      <c r="AG157" s="313">
        <v>0</v>
      </c>
      <c r="AK157" s="313">
        <v>0</v>
      </c>
      <c r="AO157" s="313">
        <v>0</v>
      </c>
      <c r="AP157" s="313">
        <v>0</v>
      </c>
      <c r="AQ157" s="313">
        <v>0</v>
      </c>
      <c r="AR157" s="313">
        <v>0</v>
      </c>
      <c r="AS157" s="313">
        <v>0</v>
      </c>
      <c r="AT157" s="313">
        <v>0</v>
      </c>
      <c r="AX157" s="313">
        <v>0</v>
      </c>
      <c r="BB157" s="313">
        <v>0</v>
      </c>
      <c r="BC157" s="313">
        <v>0</v>
      </c>
      <c r="BD157" s="313">
        <v>0</v>
      </c>
      <c r="BE157" s="313">
        <v>0</v>
      </c>
      <c r="BF157" s="313">
        <v>0</v>
      </c>
      <c r="BH157" s="313">
        <v>0</v>
      </c>
      <c r="BL157" s="313">
        <v>0</v>
      </c>
    </row>
    <row r="158" spans="1:66">
      <c r="A158" s="313" t="s">
        <v>561</v>
      </c>
      <c r="B158" s="313">
        <v>0</v>
      </c>
      <c r="C158" s="313">
        <v>0</v>
      </c>
      <c r="D158" s="313">
        <v>0</v>
      </c>
      <c r="E158" s="313">
        <v>0</v>
      </c>
      <c r="F158" s="313">
        <v>0</v>
      </c>
      <c r="G158" s="313">
        <v>0</v>
      </c>
      <c r="J158" s="313">
        <v>0</v>
      </c>
      <c r="N158" s="313">
        <v>0</v>
      </c>
      <c r="O158" s="313">
        <v>0</v>
      </c>
      <c r="P158" s="313">
        <v>0</v>
      </c>
      <c r="Q158" s="313">
        <v>0</v>
      </c>
      <c r="R158" s="313">
        <v>0</v>
      </c>
      <c r="S158" s="313">
        <v>0</v>
      </c>
      <c r="W158" s="313">
        <v>0</v>
      </c>
      <c r="AA158" s="313">
        <v>0</v>
      </c>
      <c r="AB158" s="313">
        <v>0</v>
      </c>
      <c r="AC158" s="313">
        <v>0</v>
      </c>
      <c r="AD158" s="313">
        <v>0</v>
      </c>
      <c r="AE158" s="313">
        <v>0</v>
      </c>
      <c r="AG158" s="313">
        <v>0</v>
      </c>
      <c r="AK158" s="313">
        <v>0</v>
      </c>
      <c r="AO158" s="313">
        <v>0</v>
      </c>
      <c r="AP158" s="313">
        <v>0</v>
      </c>
      <c r="AQ158" s="313">
        <v>0</v>
      </c>
      <c r="AR158" s="313">
        <v>0</v>
      </c>
      <c r="AS158" s="313">
        <v>0</v>
      </c>
      <c r="AT158" s="313">
        <v>0</v>
      </c>
      <c r="AX158" s="313">
        <v>0</v>
      </c>
      <c r="BB158" s="313">
        <v>0</v>
      </c>
      <c r="BC158" s="313">
        <v>0</v>
      </c>
      <c r="BD158" s="313">
        <v>0</v>
      </c>
      <c r="BE158" s="313">
        <v>0</v>
      </c>
      <c r="BF158" s="313">
        <v>0</v>
      </c>
      <c r="BH158" s="313">
        <v>0</v>
      </c>
      <c r="BL158" s="313">
        <v>0</v>
      </c>
    </row>
    <row r="159" spans="1:66">
      <c r="A159" s="313" t="s">
        <v>562</v>
      </c>
      <c r="B159" s="313">
        <v>0</v>
      </c>
      <c r="C159" s="313">
        <v>0</v>
      </c>
      <c r="D159" s="313">
        <v>0</v>
      </c>
      <c r="E159" s="313">
        <v>0</v>
      </c>
      <c r="F159" s="313">
        <v>0</v>
      </c>
      <c r="G159" s="313">
        <v>0</v>
      </c>
      <c r="J159" s="313">
        <v>0</v>
      </c>
      <c r="N159" s="313">
        <v>0</v>
      </c>
      <c r="O159" s="313">
        <v>0</v>
      </c>
      <c r="P159" s="313">
        <v>0</v>
      </c>
      <c r="Q159" s="313">
        <v>0</v>
      </c>
      <c r="R159" s="313">
        <v>0</v>
      </c>
      <c r="S159" s="313">
        <v>0</v>
      </c>
      <c r="W159" s="313">
        <v>0</v>
      </c>
      <c r="AA159" s="313">
        <v>0</v>
      </c>
      <c r="AB159" s="313">
        <v>0</v>
      </c>
      <c r="AC159" s="313">
        <v>0</v>
      </c>
      <c r="AD159" s="313">
        <v>0</v>
      </c>
      <c r="AE159" s="313">
        <v>0</v>
      </c>
      <c r="AG159" s="313">
        <v>0</v>
      </c>
      <c r="AK159" s="313">
        <v>0</v>
      </c>
      <c r="AO159" s="313">
        <v>0</v>
      </c>
      <c r="AP159" s="313">
        <v>0</v>
      </c>
      <c r="AQ159" s="313">
        <v>0</v>
      </c>
      <c r="AR159" s="313">
        <v>0</v>
      </c>
      <c r="AS159" s="313">
        <v>0</v>
      </c>
      <c r="AT159" s="313">
        <v>0</v>
      </c>
      <c r="AX159" s="313">
        <v>0</v>
      </c>
      <c r="BB159" s="313">
        <v>0</v>
      </c>
      <c r="BC159" s="313">
        <v>0</v>
      </c>
      <c r="BD159" s="313">
        <v>0</v>
      </c>
      <c r="BE159" s="313">
        <v>0</v>
      </c>
      <c r="BF159" s="313">
        <v>0</v>
      </c>
      <c r="BH159" s="313">
        <v>0</v>
      </c>
      <c r="BL159" s="313">
        <v>0</v>
      </c>
    </row>
    <row r="160" spans="1:66">
      <c r="A160" s="313" t="s">
        <v>563</v>
      </c>
      <c r="B160" s="313">
        <v>9864.8890569999985</v>
      </c>
      <c r="C160" s="313">
        <v>12062.752956</v>
      </c>
      <c r="D160" s="313">
        <v>20475.019536</v>
      </c>
      <c r="E160" s="313">
        <v>24873.953977000001</v>
      </c>
      <c r="F160" s="313">
        <v>26935.937830999999</v>
      </c>
      <c r="G160" s="313">
        <v>31305.444029000002</v>
      </c>
      <c r="J160" s="313">
        <v>38555.869855000004</v>
      </c>
      <c r="N160" s="313">
        <v>2151.146397</v>
      </c>
      <c r="O160" s="313">
        <v>991.01366199999995</v>
      </c>
      <c r="P160" s="313">
        <v>2533.8162320000001</v>
      </c>
      <c r="Q160" s="313">
        <v>2127.3836809999998</v>
      </c>
      <c r="R160" s="313">
        <v>3083.5525729999999</v>
      </c>
      <c r="S160" s="313">
        <v>2889.448672</v>
      </c>
      <c r="W160" s="313">
        <v>1446.3795810000001</v>
      </c>
      <c r="AA160" s="313">
        <v>14777.097196999999</v>
      </c>
      <c r="AB160" s="313">
        <v>3824.2830359999998</v>
      </c>
      <c r="AC160" s="313">
        <v>2932.292539</v>
      </c>
      <c r="AD160" s="313">
        <v>6837.8643430000011</v>
      </c>
      <c r="AE160" s="313">
        <v>7133.0909529999999</v>
      </c>
      <c r="AG160" s="313">
        <v>11894.12487</v>
      </c>
      <c r="AK160" s="313">
        <v>12887.487907999999</v>
      </c>
      <c r="AO160" s="313">
        <v>2490.2912139999999</v>
      </c>
      <c r="AP160" s="313">
        <v>4217.9658529999997</v>
      </c>
      <c r="AQ160" s="313">
        <v>11024.940097000001</v>
      </c>
      <c r="AR160" s="313">
        <v>16629.956387999999</v>
      </c>
      <c r="AS160" s="313">
        <v>19068.244253000001</v>
      </c>
      <c r="AT160" s="313">
        <v>16140.979546999999</v>
      </c>
      <c r="AX160" s="313">
        <v>10504.195877</v>
      </c>
      <c r="BB160" s="313">
        <v>300.83043800000002</v>
      </c>
      <c r="BC160" s="313">
        <v>4118.6853020000008</v>
      </c>
      <c r="BD160" s="313">
        <v>7358.1640519999992</v>
      </c>
      <c r="BE160" s="313">
        <v>5549.6692400000002</v>
      </c>
      <c r="BF160" s="313">
        <v>4994.1029950000002</v>
      </c>
      <c r="BH160" s="313">
        <v>8815.490581</v>
      </c>
      <c r="BL160" s="313">
        <v>6960.7513159999999</v>
      </c>
    </row>
    <row r="161" spans="1:66">
      <c r="A161" s="313" t="s">
        <v>861</v>
      </c>
      <c r="B161" s="313">
        <v>4990.7733539999999</v>
      </c>
      <c r="C161" s="313">
        <v>1789.841623</v>
      </c>
      <c r="D161" s="313">
        <v>4876.3642529999997</v>
      </c>
      <c r="E161" s="313">
        <v>7747.9122510000007</v>
      </c>
      <c r="F161" s="313">
        <v>6190.0014879999999</v>
      </c>
      <c r="G161" s="313">
        <v>5046.2108509999998</v>
      </c>
      <c r="J161" s="313">
        <v>10418.894973</v>
      </c>
      <c r="N161" s="313">
        <v>0</v>
      </c>
      <c r="O161" s="313">
        <v>0</v>
      </c>
      <c r="P161" s="313">
        <v>0</v>
      </c>
      <c r="Q161" s="313">
        <v>0</v>
      </c>
      <c r="R161" s="313">
        <v>0</v>
      </c>
      <c r="S161" s="313">
        <v>1313.96</v>
      </c>
      <c r="W161" s="313">
        <v>204.59200000000001</v>
      </c>
      <c r="AA161" s="313">
        <v>9350</v>
      </c>
      <c r="AB161" s="313">
        <v>0</v>
      </c>
      <c r="AC161" s="313">
        <v>0</v>
      </c>
      <c r="AD161" s="313">
        <v>0</v>
      </c>
      <c r="AE161" s="313">
        <v>0</v>
      </c>
      <c r="AG161" s="313">
        <v>0</v>
      </c>
      <c r="AK161" s="313">
        <v>0</v>
      </c>
      <c r="AO161" s="313">
        <v>0</v>
      </c>
      <c r="AP161" s="313">
        <v>0</v>
      </c>
      <c r="AQ161" s="313">
        <v>3245.0317559999999</v>
      </c>
      <c r="AR161" s="313">
        <v>3904.4763869999997</v>
      </c>
      <c r="AS161" s="313">
        <v>2932.6477749999999</v>
      </c>
      <c r="AT161" s="313">
        <v>4981.311248</v>
      </c>
      <c r="AX161" s="313">
        <v>1864.7414000000001</v>
      </c>
      <c r="BB161" s="313">
        <v>0</v>
      </c>
      <c r="BC161" s="313">
        <v>0</v>
      </c>
      <c r="BD161" s="313">
        <v>0</v>
      </c>
      <c r="BE161" s="313">
        <v>0</v>
      </c>
      <c r="BF161" s="313">
        <v>0</v>
      </c>
      <c r="BH161" s="313">
        <v>0</v>
      </c>
      <c r="BL161" s="313">
        <v>0</v>
      </c>
    </row>
    <row r="162" spans="1:66">
      <c r="A162" s="313" t="s">
        <v>862</v>
      </c>
      <c r="B162" s="313">
        <v>4874.1157030000004</v>
      </c>
      <c r="C162" s="313">
        <v>10272.911333</v>
      </c>
      <c r="D162" s="313">
        <v>15598.655283000002</v>
      </c>
      <c r="E162" s="313">
        <v>17126.041725999999</v>
      </c>
      <c r="F162" s="313">
        <v>20745.936343000001</v>
      </c>
      <c r="G162" s="313">
        <v>26259.233177999999</v>
      </c>
      <c r="J162" s="313">
        <v>28136.974881999999</v>
      </c>
      <c r="N162" s="313">
        <v>2151.146397</v>
      </c>
      <c r="O162" s="313">
        <v>991.01366199999995</v>
      </c>
      <c r="P162" s="313">
        <v>2533.8162320000001</v>
      </c>
      <c r="Q162" s="313">
        <v>2127.3836809999998</v>
      </c>
      <c r="R162" s="313">
        <v>3083.5525729999999</v>
      </c>
      <c r="S162" s="313">
        <v>1575.4886720000002</v>
      </c>
      <c r="W162" s="313">
        <v>1241.787581</v>
      </c>
      <c r="AA162" s="313">
        <v>5427.0971970000001</v>
      </c>
      <c r="AB162" s="313">
        <v>3824.2830359999998</v>
      </c>
      <c r="AC162" s="313">
        <v>2932.292539</v>
      </c>
      <c r="AD162" s="313">
        <v>6837.8643430000011</v>
      </c>
      <c r="AE162" s="313">
        <v>7133.0909529999999</v>
      </c>
      <c r="AG162" s="313">
        <v>11894.12487</v>
      </c>
      <c r="AK162" s="313">
        <v>12887.487907999999</v>
      </c>
      <c r="AO162" s="313">
        <v>2490.2912139999999</v>
      </c>
      <c r="AP162" s="313">
        <v>4217.9658529999997</v>
      </c>
      <c r="AQ162" s="313">
        <v>7779.9083409999994</v>
      </c>
      <c r="AR162" s="313">
        <v>12725.480001</v>
      </c>
      <c r="AS162" s="313">
        <v>16135.596477999999</v>
      </c>
      <c r="AT162" s="313">
        <v>11159.668298999999</v>
      </c>
      <c r="AX162" s="313">
        <v>8639.4544769999993</v>
      </c>
      <c r="BB162" s="313">
        <v>300.83043800000002</v>
      </c>
      <c r="BC162" s="313">
        <v>4118.6853020000008</v>
      </c>
      <c r="BD162" s="313">
        <v>7358.1640519999992</v>
      </c>
      <c r="BE162" s="313">
        <v>5549.6692400000002</v>
      </c>
      <c r="BF162" s="313">
        <v>4994.1029950000002</v>
      </c>
      <c r="BH162" s="313">
        <v>8815.490581</v>
      </c>
      <c r="BL162" s="313">
        <v>6960.7513159999999</v>
      </c>
    </row>
    <row r="163" spans="1:66">
      <c r="A163" s="313" t="s">
        <v>863</v>
      </c>
      <c r="B163" s="313">
        <v>2833.7070859999999</v>
      </c>
      <c r="C163" s="313">
        <v>1079.7797660000001</v>
      </c>
      <c r="D163" s="313">
        <v>5054.022473</v>
      </c>
      <c r="E163" s="313">
        <v>4995.4982220000002</v>
      </c>
      <c r="F163" s="313">
        <v>5586.5168189999995</v>
      </c>
      <c r="G163" s="313">
        <v>7.6917899999999992</v>
      </c>
      <c r="J163" s="313">
        <v>0</v>
      </c>
      <c r="N163" s="313">
        <v>3188.0691400000001</v>
      </c>
      <c r="O163" s="313">
        <v>3398.7211509999997</v>
      </c>
      <c r="P163" s="313">
        <v>1896.5143829999997</v>
      </c>
      <c r="Q163" s="313">
        <v>4114.5844700000007</v>
      </c>
      <c r="R163" s="313">
        <v>4240.0387609999998</v>
      </c>
      <c r="S163" s="313">
        <v>0</v>
      </c>
      <c r="W163" s="313">
        <v>0</v>
      </c>
      <c r="AA163" s="313">
        <v>7756.7975809999998</v>
      </c>
      <c r="AB163" s="313">
        <v>17316.546812000001</v>
      </c>
      <c r="AC163" s="313">
        <v>12512.541444</v>
      </c>
      <c r="AD163" s="313">
        <v>15950.840971000001</v>
      </c>
      <c r="AE163" s="313">
        <v>24939.893783</v>
      </c>
      <c r="AG163" s="313">
        <v>360.786813</v>
      </c>
      <c r="AK163" s="313">
        <v>294.21252999999996</v>
      </c>
      <c r="AO163" s="313">
        <v>2557.894753</v>
      </c>
      <c r="AP163" s="313">
        <v>1913.162875</v>
      </c>
      <c r="AQ163" s="313">
        <v>2551.34845</v>
      </c>
      <c r="AR163" s="313">
        <v>3899.5369229999997</v>
      </c>
      <c r="AS163" s="313">
        <v>2621.3455269999999</v>
      </c>
      <c r="AT163" s="313">
        <v>0</v>
      </c>
      <c r="AX163" s="313">
        <v>0</v>
      </c>
      <c r="BB163" s="313">
        <v>334.08501799999999</v>
      </c>
      <c r="BC163" s="313">
        <v>516.73249800000008</v>
      </c>
      <c r="BD163" s="313">
        <v>436.98693300000002</v>
      </c>
      <c r="BE163" s="313">
        <v>727.13177099999996</v>
      </c>
      <c r="BF163" s="313">
        <v>544.38472100000001</v>
      </c>
      <c r="BH163" s="313">
        <v>0</v>
      </c>
      <c r="BL163" s="313">
        <v>0</v>
      </c>
    </row>
    <row r="164" spans="1:66">
      <c r="A164" s="313" t="s">
        <v>564</v>
      </c>
      <c r="B164" s="313">
        <v>0</v>
      </c>
      <c r="C164" s="313">
        <v>0</v>
      </c>
      <c r="D164" s="313">
        <v>0</v>
      </c>
      <c r="E164" s="313">
        <v>0</v>
      </c>
      <c r="F164" s="313">
        <v>0</v>
      </c>
      <c r="G164" s="313">
        <v>10646.358243000001</v>
      </c>
      <c r="J164" s="313">
        <v>15889.163371999999</v>
      </c>
      <c r="N164" s="313">
        <v>0</v>
      </c>
      <c r="O164" s="313">
        <v>0</v>
      </c>
      <c r="P164" s="313">
        <v>0</v>
      </c>
      <c r="Q164" s="313">
        <v>0</v>
      </c>
      <c r="R164" s="313">
        <v>0</v>
      </c>
      <c r="S164" s="313">
        <v>6826.6993159999993</v>
      </c>
      <c r="W164" s="313">
        <v>5569.9954960000005</v>
      </c>
      <c r="AA164" s="313">
        <v>0</v>
      </c>
      <c r="AB164" s="313">
        <v>0</v>
      </c>
      <c r="AC164" s="313">
        <v>0</v>
      </c>
      <c r="AD164" s="313">
        <v>0</v>
      </c>
      <c r="AE164" s="313">
        <v>0</v>
      </c>
      <c r="AG164" s="313">
        <v>21800.628377000001</v>
      </c>
      <c r="AK164" s="313">
        <v>32122.813063999998</v>
      </c>
      <c r="AO164" s="313">
        <v>0</v>
      </c>
      <c r="AP164" s="313">
        <v>0</v>
      </c>
      <c r="AQ164" s="313">
        <v>0</v>
      </c>
      <c r="AR164" s="313">
        <v>0</v>
      </c>
      <c r="AS164" s="313">
        <v>0</v>
      </c>
      <c r="AT164" s="313">
        <v>11099.714876</v>
      </c>
      <c r="AX164" s="313">
        <v>3930.8457840000005</v>
      </c>
      <c r="BB164" s="313">
        <v>0</v>
      </c>
      <c r="BC164" s="313">
        <v>0</v>
      </c>
      <c r="BD164" s="313">
        <v>0</v>
      </c>
      <c r="BE164" s="313">
        <v>0</v>
      </c>
      <c r="BF164" s="313">
        <v>0</v>
      </c>
      <c r="BH164" s="313">
        <v>4462.6202590000003</v>
      </c>
      <c r="BL164" s="313">
        <v>5611.4525899999999</v>
      </c>
    </row>
    <row r="165" spans="1:66">
      <c r="A165" s="313" t="s">
        <v>565</v>
      </c>
      <c r="B165" s="313">
        <v>0</v>
      </c>
      <c r="C165" s="313">
        <v>0</v>
      </c>
      <c r="D165" s="313">
        <v>0</v>
      </c>
      <c r="E165" s="313">
        <v>0</v>
      </c>
      <c r="F165" s="313">
        <v>0</v>
      </c>
      <c r="G165" s="313">
        <v>0</v>
      </c>
      <c r="J165" s="313">
        <v>0</v>
      </c>
      <c r="N165" s="313">
        <v>0</v>
      </c>
      <c r="O165" s="313">
        <v>0</v>
      </c>
      <c r="P165" s="313">
        <v>0</v>
      </c>
      <c r="Q165" s="313">
        <v>0</v>
      </c>
      <c r="R165" s="313">
        <v>0</v>
      </c>
      <c r="S165" s="313">
        <v>0</v>
      </c>
      <c r="W165" s="313">
        <v>0</v>
      </c>
      <c r="AA165" s="313">
        <v>0</v>
      </c>
      <c r="AB165" s="313">
        <v>0</v>
      </c>
      <c r="AC165" s="313">
        <v>0</v>
      </c>
      <c r="AD165" s="313">
        <v>0</v>
      </c>
      <c r="AE165" s="313">
        <v>0</v>
      </c>
      <c r="AG165" s="313">
        <v>0</v>
      </c>
      <c r="AK165" s="313">
        <v>0</v>
      </c>
      <c r="AO165" s="313">
        <v>0</v>
      </c>
      <c r="AP165" s="313">
        <v>0</v>
      </c>
      <c r="AQ165" s="313">
        <v>0</v>
      </c>
      <c r="AR165" s="313">
        <v>0</v>
      </c>
      <c r="AS165" s="313">
        <v>0</v>
      </c>
      <c r="AT165" s="313">
        <v>0</v>
      </c>
      <c r="AX165" s="313">
        <v>0</v>
      </c>
      <c r="BB165" s="313">
        <v>0</v>
      </c>
      <c r="BC165" s="313">
        <v>0</v>
      </c>
      <c r="BD165" s="313">
        <v>0</v>
      </c>
      <c r="BE165" s="313">
        <v>0</v>
      </c>
      <c r="BF165" s="313">
        <v>0</v>
      </c>
      <c r="BH165" s="313">
        <v>0</v>
      </c>
      <c r="BL165" s="313">
        <v>0</v>
      </c>
    </row>
    <row r="166" spans="1:66">
      <c r="A166" s="313" t="s">
        <v>566</v>
      </c>
      <c r="B166" s="313">
        <v>0</v>
      </c>
      <c r="C166" s="313">
        <v>0</v>
      </c>
      <c r="D166" s="313">
        <v>0</v>
      </c>
      <c r="E166" s="313">
        <v>0</v>
      </c>
      <c r="F166" s="313">
        <v>0</v>
      </c>
      <c r="G166" s="313">
        <v>0</v>
      </c>
      <c r="J166" s="313">
        <v>0</v>
      </c>
      <c r="N166" s="313">
        <v>0</v>
      </c>
      <c r="O166" s="313">
        <v>0</v>
      </c>
      <c r="P166" s="313">
        <v>0</v>
      </c>
      <c r="Q166" s="313">
        <v>0</v>
      </c>
      <c r="R166" s="313">
        <v>0</v>
      </c>
      <c r="S166" s="313">
        <v>0</v>
      </c>
      <c r="W166" s="313">
        <v>0</v>
      </c>
      <c r="AA166" s="313">
        <v>0</v>
      </c>
      <c r="AB166" s="313">
        <v>0</v>
      </c>
      <c r="AC166" s="313">
        <v>0</v>
      </c>
      <c r="AD166" s="313">
        <v>0</v>
      </c>
      <c r="AE166" s="313">
        <v>0</v>
      </c>
      <c r="AG166" s="313">
        <v>0</v>
      </c>
      <c r="AK166" s="313">
        <v>0</v>
      </c>
      <c r="AO166" s="313">
        <v>0</v>
      </c>
      <c r="AP166" s="313">
        <v>0</v>
      </c>
      <c r="AQ166" s="313">
        <v>0</v>
      </c>
      <c r="AR166" s="313">
        <v>0</v>
      </c>
      <c r="AS166" s="313">
        <v>0</v>
      </c>
      <c r="AT166" s="313">
        <v>0</v>
      </c>
      <c r="AX166" s="313">
        <v>0</v>
      </c>
      <c r="BB166" s="313">
        <v>0</v>
      </c>
      <c r="BC166" s="313">
        <v>0</v>
      </c>
      <c r="BD166" s="313">
        <v>0</v>
      </c>
      <c r="BE166" s="313">
        <v>0</v>
      </c>
      <c r="BF166" s="313">
        <v>0</v>
      </c>
      <c r="BH166" s="313">
        <v>0</v>
      </c>
      <c r="BL166" s="313">
        <v>0</v>
      </c>
    </row>
    <row r="167" spans="1:66">
      <c r="A167" s="313" t="s">
        <v>567</v>
      </c>
      <c r="B167" s="313">
        <v>672.86629100000005</v>
      </c>
      <c r="C167" s="313">
        <v>1961.0704129999999</v>
      </c>
      <c r="D167" s="313">
        <v>2147.3338180000001</v>
      </c>
      <c r="E167" s="313">
        <v>3339.987275</v>
      </c>
      <c r="F167" s="313">
        <v>3872.580829</v>
      </c>
      <c r="G167" s="313">
        <v>4946.5986119999998</v>
      </c>
      <c r="J167" s="313">
        <v>4368.3153630000006</v>
      </c>
      <c r="N167" s="313">
        <v>7080.0543440000001</v>
      </c>
      <c r="O167" s="313">
        <v>8052.9899209999994</v>
      </c>
      <c r="P167" s="313">
        <v>8824.2968380000002</v>
      </c>
      <c r="Q167" s="313">
        <v>9598.1789959999987</v>
      </c>
      <c r="R167" s="313">
        <v>9071.2878120000005</v>
      </c>
      <c r="S167" s="313">
        <v>9398.704690999999</v>
      </c>
      <c r="W167" s="313">
        <v>6753.4342409999999</v>
      </c>
      <c r="AA167" s="313">
        <v>1390.1694439999999</v>
      </c>
      <c r="AB167" s="313">
        <v>2049.0178289999999</v>
      </c>
      <c r="AC167" s="313">
        <v>4106.6416399999998</v>
      </c>
      <c r="AD167" s="313">
        <v>3355.0252270000001</v>
      </c>
      <c r="AE167" s="313">
        <v>1963.683037</v>
      </c>
      <c r="AG167" s="313">
        <v>2632.5987719999998</v>
      </c>
      <c r="AK167" s="313">
        <v>3977.446586</v>
      </c>
      <c r="AO167" s="313">
        <v>4188.0882959999999</v>
      </c>
      <c r="AP167" s="313">
        <v>4887.3681379999998</v>
      </c>
      <c r="AQ167" s="313">
        <v>4928.9108369999994</v>
      </c>
      <c r="AR167" s="313">
        <v>6384.1439149999997</v>
      </c>
      <c r="AS167" s="313">
        <v>5515.468981</v>
      </c>
      <c r="AT167" s="313">
        <v>5799.8056640000004</v>
      </c>
      <c r="AX167" s="313">
        <v>1387.7900099999999</v>
      </c>
      <c r="BB167" s="313">
        <v>688.46969999999999</v>
      </c>
      <c r="BC167" s="313">
        <v>1007.4974599999999</v>
      </c>
      <c r="BD167" s="313">
        <v>1066.3050109999999</v>
      </c>
      <c r="BE167" s="313">
        <v>1482.983287</v>
      </c>
      <c r="BF167" s="313">
        <v>1781.7972739999998</v>
      </c>
      <c r="BH167" s="313">
        <v>2890.3249969999997</v>
      </c>
      <c r="BL167" s="313">
        <v>1894.1389350000002</v>
      </c>
    </row>
    <row r="168" spans="1:66">
      <c r="A168" s="313" t="s">
        <v>568</v>
      </c>
      <c r="B168" s="313">
        <v>1088.137166</v>
      </c>
      <c r="C168" s="313">
        <v>2140.8814499999999</v>
      </c>
      <c r="D168" s="313">
        <v>679.00971200000004</v>
      </c>
      <c r="E168" s="313">
        <v>1843.400928</v>
      </c>
      <c r="F168" s="313">
        <v>1864.6835829999998</v>
      </c>
      <c r="G168" s="313">
        <v>1686.7720859999999</v>
      </c>
      <c r="J168" s="313">
        <v>1187.5220440000001</v>
      </c>
      <c r="N168" s="313">
        <v>2511.9681030000002</v>
      </c>
      <c r="O168" s="313">
        <v>2542.0377370000001</v>
      </c>
      <c r="P168" s="313">
        <v>2972.0829549999999</v>
      </c>
      <c r="Q168" s="313">
        <v>2891.1953469999999</v>
      </c>
      <c r="R168" s="313">
        <v>2250.0265340000001</v>
      </c>
      <c r="S168" s="313">
        <v>1258.2275010000001</v>
      </c>
      <c r="W168" s="313">
        <v>1994.5128890000001</v>
      </c>
      <c r="AA168" s="313">
        <v>1527.813531</v>
      </c>
      <c r="AB168" s="313">
        <v>2173.3286229999999</v>
      </c>
      <c r="AC168" s="313">
        <v>2571.4455269999999</v>
      </c>
      <c r="AD168" s="313">
        <v>3269.7762390000003</v>
      </c>
      <c r="AE168" s="313">
        <v>2312.1929190000001</v>
      </c>
      <c r="AG168" s="313">
        <v>3593.3615189999996</v>
      </c>
      <c r="AK168" s="313">
        <v>1816.6536039999999</v>
      </c>
      <c r="AO168" s="313">
        <v>4411.6410740000001</v>
      </c>
      <c r="AP168" s="313">
        <v>6261.9236030000002</v>
      </c>
      <c r="AQ168" s="313">
        <v>9037.5184010000012</v>
      </c>
      <c r="AR168" s="313">
        <v>11413.287816</v>
      </c>
      <c r="AS168" s="313">
        <v>10270.061204000001</v>
      </c>
      <c r="AT168" s="313">
        <v>4871.7948429999997</v>
      </c>
      <c r="AX168" s="313">
        <v>3109.607501</v>
      </c>
      <c r="BB168" s="313">
        <v>2304.3202449999999</v>
      </c>
      <c r="BC168" s="313">
        <v>4172.2480329999999</v>
      </c>
      <c r="BD168" s="313">
        <v>2057.567004</v>
      </c>
      <c r="BE168" s="313">
        <v>2835.0685640000002</v>
      </c>
      <c r="BF168" s="313">
        <v>5614.5223840000008</v>
      </c>
      <c r="BH168" s="313">
        <v>6060.5310600000003</v>
      </c>
      <c r="BL168" s="313">
        <v>4724.0171450000007</v>
      </c>
    </row>
    <row r="169" spans="1:66">
      <c r="A169" s="313" t="s">
        <v>569</v>
      </c>
      <c r="B169" s="313">
        <v>294.60971599999999</v>
      </c>
      <c r="C169" s="313">
        <v>31978.136847000002</v>
      </c>
      <c r="D169" s="313">
        <v>23066.222772000001</v>
      </c>
      <c r="E169" s="313">
        <v>21626.053819999997</v>
      </c>
      <c r="F169" s="313">
        <v>25060.569955999999</v>
      </c>
      <c r="G169" s="313">
        <v>34908.050554000001</v>
      </c>
      <c r="J169" s="313">
        <v>40701.752623</v>
      </c>
      <c r="N169" s="313">
        <v>963.80565799999999</v>
      </c>
      <c r="O169" s="313">
        <v>885.09508399999993</v>
      </c>
      <c r="P169" s="313">
        <v>3207.8985809999999</v>
      </c>
      <c r="Q169" s="313">
        <v>4109.2601159999995</v>
      </c>
      <c r="R169" s="313">
        <v>1645.959672</v>
      </c>
      <c r="S169" s="313">
        <v>1643.2311140000002</v>
      </c>
      <c r="W169" s="313">
        <v>1950.041563</v>
      </c>
      <c r="AA169" s="313">
        <v>550.75357199999996</v>
      </c>
      <c r="AB169" s="313">
        <v>1458.944236</v>
      </c>
      <c r="AC169" s="313">
        <v>2126.5407960000002</v>
      </c>
      <c r="AD169" s="313">
        <v>3493.9541259999996</v>
      </c>
      <c r="AE169" s="313">
        <v>3061.354018</v>
      </c>
      <c r="AG169" s="313">
        <v>2089.8226909999998</v>
      </c>
      <c r="AK169" s="313">
        <v>5409.3951950000001</v>
      </c>
      <c r="AO169" s="313">
        <v>45647.787205000001</v>
      </c>
      <c r="AP169" s="313">
        <v>44206.492797999999</v>
      </c>
      <c r="AQ169" s="313">
        <v>25937.445652999999</v>
      </c>
      <c r="AR169" s="313">
        <v>16361.167281999999</v>
      </c>
      <c r="AS169" s="313">
        <v>9380.4508879999994</v>
      </c>
      <c r="AT169" s="313">
        <v>8504.2290219999995</v>
      </c>
      <c r="AX169" s="313">
        <v>3140.6270399999999</v>
      </c>
      <c r="BB169" s="313">
        <v>4048.86735</v>
      </c>
      <c r="BC169" s="313">
        <v>8796.7382409999991</v>
      </c>
      <c r="BD169" s="313">
        <v>101.95430400000001</v>
      </c>
      <c r="BE169" s="313">
        <v>33817.776560999999</v>
      </c>
      <c r="BF169" s="313">
        <v>26773.138045</v>
      </c>
      <c r="BH169" s="313">
        <v>13192.690420000001</v>
      </c>
      <c r="BL169" s="313">
        <v>6272.6976189999996</v>
      </c>
    </row>
    <row r="170" spans="1:66">
      <c r="A170" s="313" t="s">
        <v>570</v>
      </c>
      <c r="B170" s="313">
        <v>0</v>
      </c>
      <c r="C170" s="313">
        <v>0</v>
      </c>
      <c r="D170" s="313">
        <v>20.420833999999999</v>
      </c>
      <c r="E170" s="313">
        <v>19.190000000000001</v>
      </c>
      <c r="F170" s="313">
        <v>0</v>
      </c>
      <c r="G170" s="313">
        <v>0</v>
      </c>
      <c r="J170" s="313">
        <v>0</v>
      </c>
      <c r="N170" s="313">
        <v>31.712083000000003</v>
      </c>
      <c r="O170" s="313">
        <v>30.860799</v>
      </c>
      <c r="P170" s="313">
        <v>15.454583</v>
      </c>
      <c r="Q170" s="313">
        <v>37.330249999999999</v>
      </c>
      <c r="R170" s="313">
        <v>86.232249999999993</v>
      </c>
      <c r="S170" s="313">
        <v>126.39356699999999</v>
      </c>
      <c r="T170" s="313">
        <v>126.39356699999999</v>
      </c>
      <c r="W170" s="313">
        <v>110.14730900000001</v>
      </c>
      <c r="X170" s="313">
        <v>110.14730900000001</v>
      </c>
      <c r="AA170" s="313">
        <v>117.68958400000001</v>
      </c>
      <c r="AB170" s="313">
        <v>1007.7176900000001</v>
      </c>
      <c r="AC170" s="313">
        <v>1092.6101169999999</v>
      </c>
      <c r="AD170" s="313">
        <v>1124.2797720000001</v>
      </c>
      <c r="AE170" s="313">
        <v>0</v>
      </c>
      <c r="AG170" s="313">
        <v>0</v>
      </c>
      <c r="AK170" s="313">
        <v>0</v>
      </c>
      <c r="AO170" s="313">
        <v>49.979272999999999</v>
      </c>
      <c r="AP170" s="313">
        <v>37.381331000000003</v>
      </c>
      <c r="AQ170" s="313">
        <v>19.16938</v>
      </c>
      <c r="AR170" s="313">
        <v>38.360444999999999</v>
      </c>
      <c r="AS170" s="313">
        <v>59.956310999999999</v>
      </c>
      <c r="AT170" s="313">
        <v>1141.923178</v>
      </c>
      <c r="AU170" s="313">
        <v>1141.923178</v>
      </c>
      <c r="AX170" s="313">
        <v>400.66691299999997</v>
      </c>
      <c r="AY170" s="313">
        <v>400.66691299999997</v>
      </c>
      <c r="BB170" s="313">
        <v>0</v>
      </c>
      <c r="BC170" s="313">
        <v>0</v>
      </c>
      <c r="BD170" s="313">
        <v>0</v>
      </c>
      <c r="BE170" s="313">
        <v>0</v>
      </c>
      <c r="BF170" s="313">
        <v>0</v>
      </c>
      <c r="BH170" s="313">
        <v>0</v>
      </c>
      <c r="BI170" s="313">
        <v>0</v>
      </c>
      <c r="BL170" s="313">
        <v>0</v>
      </c>
    </row>
    <row r="171" spans="1:66">
      <c r="A171" s="313" t="s">
        <v>571</v>
      </c>
      <c r="B171" s="313">
        <v>0</v>
      </c>
      <c r="C171" s="313">
        <v>0</v>
      </c>
      <c r="D171" s="313">
        <v>0</v>
      </c>
      <c r="E171" s="313">
        <v>0</v>
      </c>
      <c r="F171" s="313">
        <v>0</v>
      </c>
      <c r="G171" s="313">
        <v>0</v>
      </c>
      <c r="J171" s="313">
        <v>0</v>
      </c>
      <c r="K171" s="313">
        <v>2494.85</v>
      </c>
      <c r="N171" s="313">
        <v>0</v>
      </c>
      <c r="O171" s="313">
        <v>0</v>
      </c>
      <c r="P171" s="313">
        <v>0</v>
      </c>
      <c r="Q171" s="313">
        <v>0</v>
      </c>
      <c r="R171" s="313">
        <v>0</v>
      </c>
      <c r="S171" s="313">
        <v>0</v>
      </c>
      <c r="W171" s="313">
        <v>0</v>
      </c>
      <c r="AA171" s="313">
        <v>0</v>
      </c>
      <c r="AB171" s="313">
        <v>0</v>
      </c>
      <c r="AC171" s="313">
        <v>0</v>
      </c>
      <c r="AD171" s="313">
        <v>0</v>
      </c>
      <c r="AE171" s="313">
        <v>0</v>
      </c>
      <c r="AG171" s="313">
        <v>0</v>
      </c>
      <c r="AK171" s="313">
        <v>0</v>
      </c>
      <c r="AO171" s="313">
        <v>1242.1129130000002</v>
      </c>
      <c r="AP171" s="313">
        <v>0</v>
      </c>
      <c r="AQ171" s="313">
        <v>0</v>
      </c>
      <c r="AR171" s="313">
        <v>0</v>
      </c>
      <c r="AS171" s="313">
        <v>0</v>
      </c>
      <c r="AT171" s="313">
        <v>0</v>
      </c>
      <c r="AX171" s="313">
        <v>0</v>
      </c>
      <c r="BB171" s="313">
        <v>0</v>
      </c>
      <c r="BC171" s="313">
        <v>0</v>
      </c>
      <c r="BD171" s="313">
        <v>0</v>
      </c>
      <c r="BE171" s="313">
        <v>0</v>
      </c>
      <c r="BF171" s="313">
        <v>0</v>
      </c>
      <c r="BH171" s="313">
        <v>0</v>
      </c>
      <c r="BL171" s="313">
        <v>0</v>
      </c>
    </row>
    <row r="172" spans="1:66">
      <c r="A172" s="313" t="s">
        <v>572</v>
      </c>
      <c r="B172" s="313">
        <v>294.60971599999999</v>
      </c>
      <c r="C172" s="313">
        <v>31978.136847000002</v>
      </c>
      <c r="D172" s="313">
        <v>23045.801938000001</v>
      </c>
      <c r="E172" s="313">
        <v>21606.863819999999</v>
      </c>
      <c r="F172" s="313">
        <v>25060.569955999999</v>
      </c>
      <c r="G172" s="313">
        <v>34908.050554000001</v>
      </c>
      <c r="H172" s="313">
        <v>33542.971654000001</v>
      </c>
      <c r="I172" s="313" t="s">
        <v>864</v>
      </c>
      <c r="J172" s="313">
        <v>0</v>
      </c>
      <c r="K172" s="313">
        <v>28095.643112000002</v>
      </c>
      <c r="L172" s="313" t="s">
        <v>864</v>
      </c>
      <c r="N172" s="313">
        <v>932.09357499999999</v>
      </c>
      <c r="O172" s="313">
        <v>854.234285</v>
      </c>
      <c r="P172" s="313">
        <v>3192.4439980000002</v>
      </c>
      <c r="Q172" s="313">
        <v>4071.9298659999995</v>
      </c>
      <c r="R172" s="313">
        <v>1559.7274220000002</v>
      </c>
      <c r="S172" s="313">
        <v>1516.8375470000001</v>
      </c>
      <c r="W172" s="313">
        <v>0</v>
      </c>
      <c r="AA172" s="313">
        <v>433.06398799999999</v>
      </c>
      <c r="AB172" s="313">
        <v>451.22654599999998</v>
      </c>
      <c r="AC172" s="313">
        <v>1033.9306789999998</v>
      </c>
      <c r="AD172" s="313">
        <v>2369.6743539999998</v>
      </c>
      <c r="AE172" s="313">
        <v>3061.354018</v>
      </c>
      <c r="AG172" s="313">
        <v>2089.8226909999998</v>
      </c>
      <c r="AK172" s="313">
        <v>0</v>
      </c>
      <c r="AO172" s="313">
        <v>44355.695018999999</v>
      </c>
      <c r="AP172" s="313">
        <v>44169.111467000002</v>
      </c>
      <c r="AQ172" s="313">
        <v>25918.276272999999</v>
      </c>
      <c r="AR172" s="313">
        <v>16322.806837</v>
      </c>
      <c r="AS172" s="313">
        <v>9320.4945769999995</v>
      </c>
      <c r="AT172" s="313">
        <v>7362.3058439999995</v>
      </c>
      <c r="AU172" s="313">
        <v>2134.2031200000001</v>
      </c>
      <c r="AV172" s="313" t="s">
        <v>865</v>
      </c>
      <c r="AX172" s="313">
        <v>0</v>
      </c>
      <c r="BB172" s="313">
        <v>4048.86735</v>
      </c>
      <c r="BC172" s="313">
        <v>8796.7382409999991</v>
      </c>
      <c r="BD172" s="313">
        <v>101.95430400000001</v>
      </c>
      <c r="BE172" s="313">
        <v>33817.776560999999</v>
      </c>
      <c r="BF172" s="313">
        <v>26773.138045</v>
      </c>
      <c r="BH172" s="313">
        <v>13192.690420000001</v>
      </c>
      <c r="BI172" s="313">
        <v>12000</v>
      </c>
      <c r="BJ172" s="313" t="s">
        <v>866</v>
      </c>
      <c r="BL172" s="313">
        <v>0</v>
      </c>
      <c r="BM172" s="313">
        <v>6000</v>
      </c>
      <c r="BN172" s="313" t="s">
        <v>866</v>
      </c>
    </row>
    <row r="173" spans="1:66">
      <c r="A173" s="313" t="s">
        <v>573</v>
      </c>
      <c r="B173" s="313">
        <v>0</v>
      </c>
      <c r="C173" s="313">
        <v>0</v>
      </c>
      <c r="D173" s="313">
        <v>0</v>
      </c>
      <c r="E173" s="313">
        <v>0</v>
      </c>
      <c r="F173" s="313">
        <v>0</v>
      </c>
      <c r="G173" s="313">
        <v>0</v>
      </c>
      <c r="J173" s="313">
        <v>0</v>
      </c>
      <c r="N173" s="313">
        <v>0</v>
      </c>
      <c r="O173" s="313">
        <v>0</v>
      </c>
      <c r="P173" s="313">
        <v>0</v>
      </c>
      <c r="Q173" s="313">
        <v>0</v>
      </c>
      <c r="R173" s="313">
        <v>0</v>
      </c>
      <c r="S173" s="313">
        <v>0</v>
      </c>
      <c r="W173" s="313">
        <v>0</v>
      </c>
      <c r="AA173" s="313">
        <v>0</v>
      </c>
      <c r="AB173" s="313">
        <v>0</v>
      </c>
      <c r="AC173" s="313">
        <v>0</v>
      </c>
      <c r="AD173" s="313">
        <v>0</v>
      </c>
      <c r="AE173" s="313">
        <v>0</v>
      </c>
      <c r="AG173" s="313">
        <v>0</v>
      </c>
      <c r="AK173" s="313">
        <v>0</v>
      </c>
      <c r="AO173" s="313">
        <v>0</v>
      </c>
      <c r="AP173" s="313">
        <v>0</v>
      </c>
      <c r="AQ173" s="313">
        <v>0</v>
      </c>
      <c r="AR173" s="313">
        <v>0</v>
      </c>
      <c r="AS173" s="313">
        <v>0</v>
      </c>
      <c r="AT173" s="313">
        <v>0</v>
      </c>
      <c r="AX173" s="313">
        <v>0</v>
      </c>
      <c r="BB173" s="313">
        <v>0</v>
      </c>
      <c r="BC173" s="313">
        <v>0</v>
      </c>
      <c r="BD173" s="313">
        <v>0</v>
      </c>
      <c r="BE173" s="313">
        <v>0</v>
      </c>
      <c r="BF173" s="313">
        <v>0</v>
      </c>
      <c r="BH173" s="313">
        <v>0</v>
      </c>
      <c r="BL173" s="313">
        <v>0</v>
      </c>
    </row>
    <row r="174" spans="1:66">
      <c r="A174" s="313" t="s">
        <v>574</v>
      </c>
      <c r="B174" s="313">
        <v>0</v>
      </c>
      <c r="C174" s="313">
        <v>0</v>
      </c>
      <c r="D174" s="313">
        <v>0</v>
      </c>
      <c r="E174" s="313">
        <v>0</v>
      </c>
      <c r="F174" s="313">
        <v>0</v>
      </c>
      <c r="G174" s="313">
        <v>0</v>
      </c>
      <c r="J174" s="313">
        <v>0</v>
      </c>
      <c r="N174" s="313">
        <v>0</v>
      </c>
      <c r="O174" s="313">
        <v>0</v>
      </c>
      <c r="P174" s="313">
        <v>0</v>
      </c>
      <c r="Q174" s="313">
        <v>0</v>
      </c>
      <c r="R174" s="313">
        <v>0</v>
      </c>
      <c r="S174" s="313">
        <v>0</v>
      </c>
      <c r="W174" s="313">
        <v>0</v>
      </c>
      <c r="AA174" s="313">
        <v>0</v>
      </c>
      <c r="AB174" s="313">
        <v>0</v>
      </c>
      <c r="AC174" s="313">
        <v>0</v>
      </c>
      <c r="AD174" s="313">
        <v>0</v>
      </c>
      <c r="AE174" s="313">
        <v>0</v>
      </c>
      <c r="AG174" s="313">
        <v>0</v>
      </c>
      <c r="AK174" s="313">
        <v>0</v>
      </c>
      <c r="AO174" s="313">
        <v>0</v>
      </c>
      <c r="AP174" s="313">
        <v>0</v>
      </c>
      <c r="AQ174" s="313">
        <v>0</v>
      </c>
      <c r="AR174" s="313">
        <v>0</v>
      </c>
      <c r="AS174" s="313">
        <v>0</v>
      </c>
      <c r="AT174" s="313">
        <v>0</v>
      </c>
      <c r="AX174" s="313">
        <v>0</v>
      </c>
      <c r="BB174" s="313">
        <v>0</v>
      </c>
      <c r="BC174" s="313">
        <v>0</v>
      </c>
      <c r="BD174" s="313">
        <v>0</v>
      </c>
      <c r="BE174" s="313">
        <v>0</v>
      </c>
      <c r="BF174" s="313">
        <v>0</v>
      </c>
      <c r="BH174" s="313">
        <v>0</v>
      </c>
      <c r="BL174" s="313">
        <v>0</v>
      </c>
    </row>
    <row r="175" spans="1:66">
      <c r="A175" s="313" t="s">
        <v>575</v>
      </c>
      <c r="B175" s="313">
        <v>0</v>
      </c>
      <c r="C175" s="313">
        <v>0</v>
      </c>
      <c r="D175" s="313">
        <v>0</v>
      </c>
      <c r="E175" s="313">
        <v>0</v>
      </c>
      <c r="F175" s="313">
        <v>0</v>
      </c>
      <c r="G175" s="313">
        <v>0</v>
      </c>
      <c r="J175" s="313">
        <v>0</v>
      </c>
      <c r="N175" s="313">
        <v>0</v>
      </c>
      <c r="O175" s="313">
        <v>0</v>
      </c>
      <c r="P175" s="313">
        <v>0</v>
      </c>
      <c r="Q175" s="313">
        <v>0</v>
      </c>
      <c r="R175" s="313">
        <v>0</v>
      </c>
      <c r="S175" s="313">
        <v>0</v>
      </c>
      <c r="W175" s="313">
        <v>0</v>
      </c>
      <c r="AA175" s="313">
        <v>0</v>
      </c>
      <c r="AB175" s="313">
        <v>0</v>
      </c>
      <c r="AC175" s="313">
        <v>0</v>
      </c>
      <c r="AD175" s="313">
        <v>0</v>
      </c>
      <c r="AE175" s="313">
        <v>0</v>
      </c>
      <c r="AG175" s="313">
        <v>0</v>
      </c>
      <c r="AK175" s="313">
        <v>0</v>
      </c>
      <c r="AO175" s="313">
        <v>0</v>
      </c>
      <c r="AP175" s="313">
        <v>0</v>
      </c>
      <c r="AQ175" s="313">
        <v>0</v>
      </c>
      <c r="AR175" s="313">
        <v>0</v>
      </c>
      <c r="AS175" s="313">
        <v>0</v>
      </c>
      <c r="AT175" s="313">
        <v>0</v>
      </c>
      <c r="AX175" s="313">
        <v>0</v>
      </c>
      <c r="BB175" s="313">
        <v>0</v>
      </c>
      <c r="BC175" s="313">
        <v>0</v>
      </c>
      <c r="BD175" s="313">
        <v>0</v>
      </c>
      <c r="BE175" s="313">
        <v>0</v>
      </c>
      <c r="BF175" s="313">
        <v>0</v>
      </c>
      <c r="BH175" s="313">
        <v>0</v>
      </c>
      <c r="BL175" s="313">
        <v>0</v>
      </c>
    </row>
    <row r="176" spans="1:66">
      <c r="A176" s="313" t="s">
        <v>576</v>
      </c>
      <c r="B176" s="313">
        <v>0</v>
      </c>
      <c r="C176" s="313">
        <v>0</v>
      </c>
      <c r="D176" s="313">
        <v>0</v>
      </c>
      <c r="E176" s="313">
        <v>0</v>
      </c>
      <c r="F176" s="313">
        <v>0</v>
      </c>
      <c r="G176" s="313">
        <v>0</v>
      </c>
      <c r="J176" s="313">
        <v>0</v>
      </c>
      <c r="N176" s="313">
        <v>0</v>
      </c>
      <c r="O176" s="313">
        <v>0</v>
      </c>
      <c r="P176" s="313">
        <v>0</v>
      </c>
      <c r="Q176" s="313">
        <v>0</v>
      </c>
      <c r="R176" s="313">
        <v>0</v>
      </c>
      <c r="S176" s="313">
        <v>0</v>
      </c>
      <c r="W176" s="313">
        <v>0</v>
      </c>
      <c r="AA176" s="313">
        <v>0</v>
      </c>
      <c r="AB176" s="313">
        <v>0</v>
      </c>
      <c r="AC176" s="313">
        <v>0</v>
      </c>
      <c r="AD176" s="313">
        <v>0</v>
      </c>
      <c r="AE176" s="313">
        <v>0</v>
      </c>
      <c r="AG176" s="313">
        <v>0</v>
      </c>
      <c r="AK176" s="313">
        <v>0</v>
      </c>
      <c r="AO176" s="313">
        <v>0</v>
      </c>
      <c r="AP176" s="313">
        <v>0</v>
      </c>
      <c r="AQ176" s="313">
        <v>0</v>
      </c>
      <c r="AR176" s="313">
        <v>0</v>
      </c>
      <c r="AS176" s="313">
        <v>0</v>
      </c>
      <c r="AT176" s="313">
        <v>0</v>
      </c>
      <c r="AX176" s="313">
        <v>0</v>
      </c>
      <c r="BB176" s="313">
        <v>0</v>
      </c>
      <c r="BC176" s="313">
        <v>0</v>
      </c>
      <c r="BD176" s="313">
        <v>0</v>
      </c>
      <c r="BE176" s="313">
        <v>0</v>
      </c>
      <c r="BF176" s="313">
        <v>0</v>
      </c>
      <c r="BH176" s="313">
        <v>0</v>
      </c>
      <c r="BL176" s="313">
        <v>0</v>
      </c>
    </row>
    <row r="177" spans="1:66">
      <c r="A177" s="313" t="s">
        <v>577</v>
      </c>
      <c r="B177" s="313">
        <v>0</v>
      </c>
      <c r="C177" s="313">
        <v>0</v>
      </c>
      <c r="D177" s="313">
        <v>0</v>
      </c>
      <c r="E177" s="313">
        <v>0</v>
      </c>
      <c r="F177" s="313">
        <v>0</v>
      </c>
      <c r="G177" s="313">
        <v>0</v>
      </c>
      <c r="J177" s="313">
        <v>0</v>
      </c>
      <c r="N177" s="313">
        <v>0</v>
      </c>
      <c r="O177" s="313">
        <v>0</v>
      </c>
      <c r="P177" s="313">
        <v>0</v>
      </c>
      <c r="Q177" s="313">
        <v>0</v>
      </c>
      <c r="R177" s="313">
        <v>0</v>
      </c>
      <c r="S177" s="313">
        <v>0</v>
      </c>
      <c r="W177" s="313">
        <v>0</v>
      </c>
      <c r="AA177" s="313">
        <v>0</v>
      </c>
      <c r="AB177" s="313">
        <v>0</v>
      </c>
      <c r="AC177" s="313">
        <v>0</v>
      </c>
      <c r="AD177" s="313">
        <v>0</v>
      </c>
      <c r="AE177" s="313">
        <v>0</v>
      </c>
      <c r="AG177" s="313">
        <v>0</v>
      </c>
      <c r="AK177" s="313">
        <v>0</v>
      </c>
      <c r="AO177" s="313">
        <v>0</v>
      </c>
      <c r="AP177" s="313">
        <v>0</v>
      </c>
      <c r="AQ177" s="313">
        <v>0</v>
      </c>
      <c r="AR177" s="313">
        <v>0</v>
      </c>
      <c r="AS177" s="313">
        <v>0</v>
      </c>
      <c r="AT177" s="313">
        <v>0</v>
      </c>
      <c r="AX177" s="313">
        <v>0</v>
      </c>
      <c r="BB177" s="313">
        <v>0</v>
      </c>
      <c r="BC177" s="313">
        <v>0</v>
      </c>
      <c r="BD177" s="313">
        <v>0</v>
      </c>
      <c r="BE177" s="313">
        <v>0</v>
      </c>
      <c r="BF177" s="313">
        <v>0</v>
      </c>
      <c r="BH177" s="313">
        <v>0</v>
      </c>
      <c r="BL177" s="313">
        <v>0</v>
      </c>
    </row>
    <row r="178" spans="1:66" s="334" customFormat="1">
      <c r="A178" s="334" t="s">
        <v>578</v>
      </c>
      <c r="B178" s="334">
        <v>0</v>
      </c>
      <c r="C178" s="334">
        <v>0</v>
      </c>
      <c r="D178" s="334">
        <v>0</v>
      </c>
      <c r="E178" s="334">
        <v>0</v>
      </c>
      <c r="F178" s="334">
        <v>550</v>
      </c>
      <c r="G178" s="334">
        <v>7108.3125</v>
      </c>
      <c r="I178" s="334">
        <v>7108.3125</v>
      </c>
      <c r="J178" s="334">
        <v>7013.1383560000004</v>
      </c>
      <c r="L178" s="334">
        <v>7013.1383560000004</v>
      </c>
      <c r="N178" s="334">
        <v>0</v>
      </c>
      <c r="O178" s="334">
        <v>0</v>
      </c>
      <c r="P178" s="334">
        <v>0</v>
      </c>
      <c r="Q178" s="334">
        <v>0</v>
      </c>
      <c r="R178" s="334">
        <v>0</v>
      </c>
      <c r="S178" s="334">
        <v>1500</v>
      </c>
      <c r="U178" s="334">
        <v>1500</v>
      </c>
      <c r="W178" s="334">
        <v>1500</v>
      </c>
      <c r="Y178" s="334">
        <v>1500</v>
      </c>
      <c r="AA178" s="334">
        <v>2575</v>
      </c>
      <c r="AB178" s="334">
        <v>857.5</v>
      </c>
      <c r="AC178" s="334">
        <v>0</v>
      </c>
      <c r="AD178" s="334">
        <v>22990.015679</v>
      </c>
      <c r="AE178" s="334">
        <v>0</v>
      </c>
      <c r="AG178" s="334">
        <v>0</v>
      </c>
      <c r="AK178" s="334">
        <v>2505.7670870000002</v>
      </c>
      <c r="AM178" s="334">
        <v>2505.7670870000002</v>
      </c>
      <c r="AO178" s="334">
        <v>0</v>
      </c>
      <c r="AP178" s="334">
        <v>0</v>
      </c>
      <c r="AQ178" s="334">
        <v>0</v>
      </c>
      <c r="AR178" s="334">
        <v>0</v>
      </c>
      <c r="AS178" s="334">
        <v>4000</v>
      </c>
      <c r="AT178" s="334">
        <v>5000</v>
      </c>
      <c r="AV178" s="334">
        <v>5000</v>
      </c>
      <c r="AX178" s="334">
        <v>0</v>
      </c>
      <c r="BB178" s="334">
        <v>0</v>
      </c>
      <c r="BC178" s="334">
        <v>0</v>
      </c>
      <c r="BD178" s="334">
        <v>0</v>
      </c>
      <c r="BE178" s="334">
        <v>4800</v>
      </c>
      <c r="BF178" s="334">
        <v>2400</v>
      </c>
      <c r="BH178" s="334">
        <v>0</v>
      </c>
      <c r="BJ178" s="334">
        <v>0</v>
      </c>
      <c r="BL178" s="334">
        <v>0</v>
      </c>
      <c r="BN178" s="334">
        <v>0</v>
      </c>
    </row>
    <row r="179" spans="1:66">
      <c r="A179" s="313" t="s">
        <v>579</v>
      </c>
      <c r="B179" s="313">
        <v>0</v>
      </c>
      <c r="C179" s="313">
        <v>0</v>
      </c>
      <c r="D179" s="313">
        <v>0</v>
      </c>
      <c r="E179" s="313">
        <v>0</v>
      </c>
      <c r="F179" s="313">
        <v>0</v>
      </c>
      <c r="G179" s="313">
        <v>0</v>
      </c>
      <c r="J179" s="313">
        <v>0</v>
      </c>
      <c r="N179" s="313">
        <v>0</v>
      </c>
      <c r="O179" s="313">
        <v>0</v>
      </c>
      <c r="P179" s="313">
        <v>0</v>
      </c>
      <c r="Q179" s="313">
        <v>0</v>
      </c>
      <c r="R179" s="313">
        <v>0</v>
      </c>
      <c r="S179" s="313">
        <v>0</v>
      </c>
      <c r="W179" s="313">
        <v>0</v>
      </c>
      <c r="AA179" s="313">
        <v>0</v>
      </c>
      <c r="AB179" s="313">
        <v>0</v>
      </c>
      <c r="AC179" s="313">
        <v>0</v>
      </c>
      <c r="AD179" s="313">
        <v>0</v>
      </c>
      <c r="AE179" s="313">
        <v>0</v>
      </c>
      <c r="AG179" s="313">
        <v>0</v>
      </c>
      <c r="AK179" s="313">
        <v>0</v>
      </c>
      <c r="AO179" s="313">
        <v>0</v>
      </c>
      <c r="AP179" s="313">
        <v>0</v>
      </c>
      <c r="AQ179" s="313">
        <v>0</v>
      </c>
      <c r="AR179" s="313">
        <v>0</v>
      </c>
      <c r="AS179" s="313">
        <v>0</v>
      </c>
      <c r="AT179" s="313">
        <v>0</v>
      </c>
      <c r="AX179" s="313">
        <v>0</v>
      </c>
      <c r="BB179" s="313">
        <v>0</v>
      </c>
      <c r="BC179" s="313">
        <v>0</v>
      </c>
      <c r="BD179" s="313">
        <v>0</v>
      </c>
      <c r="BE179" s="313">
        <v>0</v>
      </c>
      <c r="BF179" s="313">
        <v>0</v>
      </c>
      <c r="BH179" s="313">
        <v>0</v>
      </c>
      <c r="BL179" s="313">
        <v>0</v>
      </c>
    </row>
    <row r="180" spans="1:66" s="334" customFormat="1">
      <c r="A180" s="334" t="s">
        <v>580</v>
      </c>
      <c r="B180" s="334">
        <v>0</v>
      </c>
      <c r="C180" s="334">
        <v>0</v>
      </c>
      <c r="D180" s="334">
        <v>0</v>
      </c>
      <c r="E180" s="334">
        <v>0</v>
      </c>
      <c r="F180" s="334">
        <v>0</v>
      </c>
      <c r="G180" s="334">
        <v>0</v>
      </c>
      <c r="I180" s="334">
        <v>10056.958903999999</v>
      </c>
      <c r="J180" s="334">
        <v>0</v>
      </c>
      <c r="L180" s="334">
        <v>10857.806209000002</v>
      </c>
      <c r="N180" s="334">
        <v>0</v>
      </c>
      <c r="O180" s="334">
        <v>0</v>
      </c>
      <c r="P180" s="334">
        <v>0</v>
      </c>
      <c r="Q180" s="334">
        <v>0</v>
      </c>
      <c r="R180" s="334">
        <v>0</v>
      </c>
      <c r="S180" s="334">
        <v>0</v>
      </c>
      <c r="W180" s="334">
        <v>0</v>
      </c>
      <c r="AA180" s="334">
        <v>0</v>
      </c>
      <c r="AB180" s="334">
        <v>0</v>
      </c>
      <c r="AC180" s="334">
        <v>0</v>
      </c>
      <c r="AD180" s="334">
        <v>0</v>
      </c>
      <c r="AE180" s="334">
        <v>0</v>
      </c>
      <c r="AG180" s="334">
        <v>0</v>
      </c>
      <c r="AK180" s="334">
        <v>0</v>
      </c>
      <c r="AO180" s="334">
        <v>0</v>
      </c>
      <c r="AP180" s="334">
        <v>0</v>
      </c>
      <c r="AQ180" s="334">
        <v>0</v>
      </c>
      <c r="AR180" s="334">
        <v>0</v>
      </c>
      <c r="AS180" s="334">
        <v>0</v>
      </c>
      <c r="AT180" s="334">
        <v>0</v>
      </c>
      <c r="AX180" s="334">
        <v>0</v>
      </c>
      <c r="BB180" s="334">
        <v>0</v>
      </c>
      <c r="BC180" s="334">
        <v>0</v>
      </c>
      <c r="BD180" s="334">
        <v>0</v>
      </c>
      <c r="BE180" s="334">
        <v>0</v>
      </c>
      <c r="BF180" s="334">
        <v>0</v>
      </c>
      <c r="BH180" s="334">
        <v>0</v>
      </c>
      <c r="BL180" s="334">
        <v>0</v>
      </c>
    </row>
    <row r="181" spans="1:66">
      <c r="A181" s="313" t="s">
        <v>581</v>
      </c>
      <c r="B181" s="313">
        <v>0</v>
      </c>
      <c r="C181" s="313">
        <v>8.3333270000000006</v>
      </c>
      <c r="D181" s="313">
        <v>0</v>
      </c>
      <c r="E181" s="313">
        <v>0</v>
      </c>
      <c r="F181" s="313">
        <v>0</v>
      </c>
      <c r="G181" s="313">
        <v>11000.335373</v>
      </c>
      <c r="H181" s="313">
        <v>943.37646899999993</v>
      </c>
      <c r="I181" s="313" t="s">
        <v>867</v>
      </c>
      <c r="J181" s="313">
        <v>11666.846209000001</v>
      </c>
      <c r="K181" s="313">
        <v>809.04</v>
      </c>
      <c r="L181" s="313" t="s">
        <v>867</v>
      </c>
      <c r="N181" s="313">
        <v>0</v>
      </c>
      <c r="O181" s="313">
        <v>0</v>
      </c>
      <c r="P181" s="313">
        <v>0</v>
      </c>
      <c r="Q181" s="313">
        <v>0</v>
      </c>
      <c r="R181" s="313">
        <v>0</v>
      </c>
      <c r="S181" s="313">
        <v>0</v>
      </c>
      <c r="W181" s="313">
        <v>0</v>
      </c>
      <c r="AA181" s="313">
        <v>0</v>
      </c>
      <c r="AB181" s="313">
        <v>0</v>
      </c>
      <c r="AC181" s="313">
        <v>0</v>
      </c>
      <c r="AD181" s="313">
        <v>0</v>
      </c>
      <c r="AE181" s="313">
        <v>0</v>
      </c>
      <c r="AG181" s="313">
        <v>2660.9092170000004</v>
      </c>
      <c r="AH181" s="313">
        <v>2660.9092170000004</v>
      </c>
      <c r="AI181" s="313" t="s">
        <v>868</v>
      </c>
      <c r="AK181" s="313">
        <v>3920.2827549999997</v>
      </c>
      <c r="AL181" s="313">
        <v>3920.2827549999997</v>
      </c>
      <c r="AM181" s="313" t="s">
        <v>868</v>
      </c>
      <c r="AO181" s="313">
        <v>0</v>
      </c>
      <c r="AP181" s="313">
        <v>0</v>
      </c>
      <c r="AQ181" s="313">
        <v>0</v>
      </c>
      <c r="AR181" s="313">
        <v>0</v>
      </c>
      <c r="AS181" s="313">
        <v>0</v>
      </c>
      <c r="AT181" s="313">
        <v>2434.924888</v>
      </c>
      <c r="AU181" s="313">
        <v>2434.924888</v>
      </c>
      <c r="AV181" s="313" t="s">
        <v>868</v>
      </c>
      <c r="AX181" s="313">
        <v>2278.616728</v>
      </c>
      <c r="AY181" s="313">
        <v>2278.616728</v>
      </c>
      <c r="AZ181" s="313" t="s">
        <v>868</v>
      </c>
      <c r="BB181" s="313">
        <v>0</v>
      </c>
      <c r="BC181" s="313">
        <v>0</v>
      </c>
      <c r="BD181" s="313">
        <v>0</v>
      </c>
      <c r="BE181" s="313">
        <v>0</v>
      </c>
      <c r="BF181" s="313">
        <v>0</v>
      </c>
      <c r="BH181" s="313">
        <v>35.859937000000002</v>
      </c>
      <c r="BI181" s="313">
        <v>35.859937000000002</v>
      </c>
      <c r="BJ181" s="313" t="s">
        <v>869</v>
      </c>
      <c r="BL181" s="313">
        <v>55.836670999999996</v>
      </c>
      <c r="BM181" s="313">
        <v>55.836670999999996</v>
      </c>
      <c r="BN181" s="313" t="s">
        <v>869</v>
      </c>
    </row>
    <row r="182" spans="1:66">
      <c r="A182" s="313" t="s">
        <v>582</v>
      </c>
      <c r="B182" s="313">
        <v>0</v>
      </c>
      <c r="C182" s="313">
        <v>0</v>
      </c>
      <c r="D182" s="313">
        <v>0</v>
      </c>
      <c r="E182" s="313">
        <v>0</v>
      </c>
      <c r="F182" s="313">
        <v>0</v>
      </c>
      <c r="G182" s="313">
        <v>0</v>
      </c>
      <c r="J182" s="313">
        <v>0</v>
      </c>
      <c r="N182" s="313">
        <v>0</v>
      </c>
      <c r="O182" s="313">
        <v>0</v>
      </c>
      <c r="P182" s="313">
        <v>0</v>
      </c>
      <c r="Q182" s="313">
        <v>0</v>
      </c>
      <c r="R182" s="313">
        <v>0</v>
      </c>
      <c r="S182" s="313">
        <v>0</v>
      </c>
      <c r="W182" s="313">
        <v>0</v>
      </c>
      <c r="AA182" s="313">
        <v>0</v>
      </c>
      <c r="AB182" s="313">
        <v>0</v>
      </c>
      <c r="AC182" s="313">
        <v>0</v>
      </c>
      <c r="AD182" s="313">
        <v>0</v>
      </c>
      <c r="AE182" s="313">
        <v>0</v>
      </c>
      <c r="AG182" s="313">
        <v>0</v>
      </c>
      <c r="AK182" s="313">
        <v>0</v>
      </c>
      <c r="AO182" s="313">
        <v>0</v>
      </c>
      <c r="AP182" s="313">
        <v>0</v>
      </c>
      <c r="AQ182" s="313">
        <v>0</v>
      </c>
      <c r="AR182" s="313">
        <v>0</v>
      </c>
      <c r="AS182" s="313">
        <v>0</v>
      </c>
      <c r="AT182" s="313">
        <v>0</v>
      </c>
      <c r="AX182" s="313">
        <v>0</v>
      </c>
      <c r="BB182" s="313">
        <v>0</v>
      </c>
      <c r="BC182" s="313">
        <v>0</v>
      </c>
      <c r="BD182" s="313">
        <v>0</v>
      </c>
      <c r="BE182" s="313">
        <v>0</v>
      </c>
      <c r="BF182" s="313">
        <v>0</v>
      </c>
      <c r="BH182" s="313">
        <v>0</v>
      </c>
      <c r="BL182" s="313">
        <v>0</v>
      </c>
    </row>
    <row r="183" spans="1:66">
      <c r="A183" s="313" t="s">
        <v>583</v>
      </c>
      <c r="B183" s="313">
        <v>0</v>
      </c>
      <c r="C183" s="313">
        <v>0</v>
      </c>
      <c r="D183" s="313">
        <v>0</v>
      </c>
      <c r="E183" s="313">
        <v>0</v>
      </c>
      <c r="F183" s="313">
        <v>0</v>
      </c>
      <c r="G183" s="313">
        <v>0</v>
      </c>
      <c r="J183" s="313">
        <v>0</v>
      </c>
      <c r="N183" s="313">
        <v>0</v>
      </c>
      <c r="O183" s="313">
        <v>0</v>
      </c>
      <c r="P183" s="313">
        <v>0</v>
      </c>
      <c r="Q183" s="313">
        <v>0</v>
      </c>
      <c r="R183" s="313">
        <v>0</v>
      </c>
      <c r="S183" s="313">
        <v>0</v>
      </c>
      <c r="W183" s="313">
        <v>0</v>
      </c>
      <c r="AA183" s="313">
        <v>0</v>
      </c>
      <c r="AB183" s="313">
        <v>0</v>
      </c>
      <c r="AC183" s="313">
        <v>0</v>
      </c>
      <c r="AD183" s="313">
        <v>0</v>
      </c>
      <c r="AE183" s="313">
        <v>0</v>
      </c>
      <c r="AG183" s="313">
        <v>0</v>
      </c>
      <c r="AK183" s="313">
        <v>0</v>
      </c>
      <c r="AO183" s="313">
        <v>0</v>
      </c>
      <c r="AP183" s="313">
        <v>0</v>
      </c>
      <c r="AQ183" s="313">
        <v>0</v>
      </c>
      <c r="AR183" s="313">
        <v>0</v>
      </c>
      <c r="AS183" s="313">
        <v>0</v>
      </c>
      <c r="AT183" s="313">
        <v>0</v>
      </c>
      <c r="AX183" s="313">
        <v>0</v>
      </c>
      <c r="BB183" s="313">
        <v>0</v>
      </c>
      <c r="BC183" s="313">
        <v>0</v>
      </c>
      <c r="BD183" s="313">
        <v>0</v>
      </c>
      <c r="BE183" s="313">
        <v>0</v>
      </c>
      <c r="BF183" s="313">
        <v>0</v>
      </c>
      <c r="BH183" s="313">
        <v>0</v>
      </c>
      <c r="BL183" s="313">
        <v>0</v>
      </c>
    </row>
    <row r="184" spans="1:66">
      <c r="A184" s="333" t="s">
        <v>584</v>
      </c>
      <c r="B184" s="333">
        <v>18654.209316</v>
      </c>
      <c r="C184" s="333">
        <v>49230.954759</v>
      </c>
      <c r="D184" s="333">
        <v>68321.608311000004</v>
      </c>
      <c r="E184" s="333">
        <v>75658.894222000003</v>
      </c>
      <c r="F184" s="333">
        <v>95776.271273000006</v>
      </c>
      <c r="G184" s="333">
        <v>119632.28046400001</v>
      </c>
      <c r="H184" s="333">
        <v>34486.348123000003</v>
      </c>
      <c r="I184" s="333">
        <v>35187.988681000003</v>
      </c>
      <c r="J184" s="333">
        <v>157325.24440999998</v>
      </c>
      <c r="K184" s="333">
        <v>31399.533112000001</v>
      </c>
      <c r="L184" s="333">
        <v>55813.581153000006</v>
      </c>
      <c r="M184" s="333"/>
      <c r="N184" s="333">
        <v>33895.043642000004</v>
      </c>
      <c r="O184" s="333">
        <v>35869.857555000002</v>
      </c>
      <c r="P184" s="333">
        <v>30934.608989</v>
      </c>
      <c r="Q184" s="333">
        <v>47540.602610000002</v>
      </c>
      <c r="R184" s="333">
        <v>67890.865351999993</v>
      </c>
      <c r="S184" s="333">
        <v>53050.491293999999</v>
      </c>
      <c r="T184" s="333">
        <v>126.39356699999999</v>
      </c>
      <c r="U184" s="333">
        <v>31034.18</v>
      </c>
      <c r="V184" s="333"/>
      <c r="W184" s="333">
        <v>61706.924074000002</v>
      </c>
      <c r="X184" s="333">
        <v>110.14730900000001</v>
      </c>
      <c r="Y184" s="333">
        <v>43992.560303999999</v>
      </c>
      <c r="Z184" s="333"/>
      <c r="AA184" s="333">
        <v>103227.63132499999</v>
      </c>
      <c r="AB184" s="333">
        <v>92179.620536000002</v>
      </c>
      <c r="AC184" s="333">
        <v>92349.46194600001</v>
      </c>
      <c r="AD184" s="333">
        <v>152497.476585</v>
      </c>
      <c r="AE184" s="333">
        <v>242413.71964</v>
      </c>
      <c r="AF184" s="333"/>
      <c r="AG184" s="333">
        <v>258335.98694699997</v>
      </c>
      <c r="AH184" s="333">
        <v>2660.9092170000004</v>
      </c>
      <c r="AI184" s="333">
        <v>213303.75468800002</v>
      </c>
      <c r="AJ184" s="333"/>
      <c r="AK184" s="333">
        <v>209811.40337000001</v>
      </c>
      <c r="AL184" s="333">
        <v>3920.2827549999997</v>
      </c>
      <c r="AM184" s="333">
        <v>149383.11172799999</v>
      </c>
      <c r="AN184" s="333"/>
      <c r="AO184" s="333">
        <v>96507.702541999999</v>
      </c>
      <c r="AP184" s="333">
        <v>89686.913266999996</v>
      </c>
      <c r="AQ184" s="333">
        <v>63733.163437999996</v>
      </c>
      <c r="AR184" s="333">
        <v>95952.152323999995</v>
      </c>
      <c r="AS184" s="333">
        <v>83049.670853000003</v>
      </c>
      <c r="AT184" s="333">
        <v>98606.448839999997</v>
      </c>
      <c r="AU184" s="333">
        <v>5711.0511860000006</v>
      </c>
      <c r="AV184" s="333">
        <v>49755</v>
      </c>
      <c r="AW184" s="333"/>
      <c r="AX184" s="333">
        <v>87241.994707999998</v>
      </c>
      <c r="AY184" s="333">
        <v>2679.283641</v>
      </c>
      <c r="AZ184" s="333">
        <v>62890.311767999992</v>
      </c>
      <c r="BA184" s="333"/>
      <c r="BB184" s="333">
        <v>7676.5727510000006</v>
      </c>
      <c r="BC184" s="333">
        <v>18611.901534000001</v>
      </c>
      <c r="BD184" s="333">
        <v>11020.977304</v>
      </c>
      <c r="BE184" s="333">
        <v>49212.629422999998</v>
      </c>
      <c r="BF184" s="333">
        <v>43124.800627999997</v>
      </c>
      <c r="BG184" s="333"/>
      <c r="BH184" s="333">
        <v>35457.517254000006</v>
      </c>
      <c r="BI184" s="333">
        <v>12035.859936999999</v>
      </c>
      <c r="BJ184" s="333">
        <v>0</v>
      </c>
      <c r="BK184" s="333"/>
      <c r="BL184" s="333">
        <v>25518.894275999999</v>
      </c>
      <c r="BM184" s="333">
        <v>6055.836671</v>
      </c>
      <c r="BN184" s="333">
        <v>0</v>
      </c>
    </row>
    <row r="185" spans="1:66">
      <c r="A185" s="333" t="s">
        <v>163</v>
      </c>
      <c r="B185" s="333"/>
      <c r="C185" s="333"/>
      <c r="D185" s="333"/>
      <c r="E185" s="333"/>
      <c r="F185" s="333"/>
      <c r="G185" s="333"/>
      <c r="H185" s="333"/>
      <c r="I185" s="333"/>
      <c r="J185" s="333"/>
      <c r="K185" s="333"/>
      <c r="L185" s="333"/>
      <c r="M185" s="333"/>
      <c r="N185" s="333"/>
      <c r="O185" s="333"/>
      <c r="P185" s="333"/>
      <c r="Q185" s="333"/>
      <c r="R185" s="333"/>
      <c r="S185" s="333"/>
      <c r="T185" s="333"/>
      <c r="U185" s="333"/>
      <c r="V185" s="333"/>
      <c r="W185" s="333"/>
      <c r="X185" s="333"/>
      <c r="Y185" s="333"/>
      <c r="Z185" s="333"/>
      <c r="AA185" s="333"/>
      <c r="AB185" s="333"/>
      <c r="AC185" s="333"/>
      <c r="AD185" s="333"/>
      <c r="AE185" s="333"/>
      <c r="AF185" s="333"/>
      <c r="AG185" s="333"/>
      <c r="AH185" s="333"/>
      <c r="AI185" s="333"/>
      <c r="AJ185" s="333"/>
      <c r="AK185" s="333"/>
      <c r="AL185" s="333"/>
      <c r="AM185" s="333"/>
      <c r="AN185" s="333"/>
      <c r="AO185" s="333"/>
      <c r="AP185" s="333"/>
      <c r="AQ185" s="333"/>
      <c r="AR185" s="333"/>
      <c r="AS185" s="333"/>
      <c r="AT185" s="333"/>
      <c r="AU185" s="333"/>
      <c r="AV185" s="333"/>
      <c r="AW185" s="333"/>
      <c r="AX185" s="333"/>
      <c r="AY185" s="333"/>
      <c r="AZ185" s="333"/>
      <c r="BA185" s="333"/>
      <c r="BB185" s="333"/>
      <c r="BC185" s="333"/>
      <c r="BD185" s="333"/>
      <c r="BE185" s="333"/>
      <c r="BF185" s="333"/>
      <c r="BG185" s="333"/>
      <c r="BH185" s="333"/>
      <c r="BI185" s="333"/>
      <c r="BJ185" s="333"/>
      <c r="BK185" s="333"/>
      <c r="BL185" s="333"/>
      <c r="BM185" s="333"/>
      <c r="BN185" s="333"/>
    </row>
    <row r="186" spans="1:66" s="334" customFormat="1">
      <c r="A186" s="334" t="s">
        <v>585</v>
      </c>
      <c r="B186" s="334">
        <v>450</v>
      </c>
      <c r="C186" s="334">
        <v>450</v>
      </c>
      <c r="D186" s="334">
        <v>450</v>
      </c>
      <c r="E186" s="334">
        <v>450</v>
      </c>
      <c r="F186" s="334">
        <v>9883.5129579999993</v>
      </c>
      <c r="G186" s="334">
        <v>1900.9444440000002</v>
      </c>
      <c r="I186" s="334">
        <v>1900.9444440000002</v>
      </c>
      <c r="J186" s="334">
        <v>7950</v>
      </c>
      <c r="L186" s="334">
        <v>7950</v>
      </c>
      <c r="N186" s="334">
        <v>0</v>
      </c>
      <c r="O186" s="334">
        <v>0</v>
      </c>
      <c r="P186" s="334">
        <v>0</v>
      </c>
      <c r="Q186" s="334">
        <v>0</v>
      </c>
      <c r="R186" s="334">
        <v>15000</v>
      </c>
      <c r="S186" s="334">
        <v>12000</v>
      </c>
      <c r="U186" s="334">
        <v>12000</v>
      </c>
      <c r="W186" s="334">
        <v>11250</v>
      </c>
      <c r="Y186" s="334">
        <v>11250</v>
      </c>
      <c r="AA186" s="334">
        <v>490</v>
      </c>
      <c r="AB186" s="334">
        <v>0</v>
      </c>
      <c r="AC186" s="334">
        <v>3000</v>
      </c>
      <c r="AD186" s="334">
        <v>0</v>
      </c>
      <c r="AE186" s="334">
        <v>0</v>
      </c>
      <c r="AG186" s="334">
        <v>0</v>
      </c>
      <c r="AK186" s="334">
        <v>2490</v>
      </c>
      <c r="AM186" s="334">
        <v>2490</v>
      </c>
      <c r="AO186" s="334">
        <v>0</v>
      </c>
      <c r="AP186" s="334">
        <v>0</v>
      </c>
      <c r="AQ186" s="334">
        <v>0</v>
      </c>
      <c r="AR186" s="334">
        <v>0</v>
      </c>
      <c r="AS186" s="334">
        <v>12000</v>
      </c>
      <c r="AT186" s="334">
        <v>7000</v>
      </c>
      <c r="AV186" s="334">
        <v>7000</v>
      </c>
      <c r="AX186" s="334">
        <v>3351</v>
      </c>
      <c r="AZ186" s="334">
        <v>3351</v>
      </c>
      <c r="BB186" s="334">
        <v>0</v>
      </c>
      <c r="BC186" s="334">
        <v>0</v>
      </c>
      <c r="BD186" s="334">
        <v>0</v>
      </c>
      <c r="BE186" s="334">
        <v>11200</v>
      </c>
      <c r="BF186" s="334">
        <v>6400</v>
      </c>
      <c r="BH186" s="334">
        <v>0</v>
      </c>
      <c r="BJ186" s="334">
        <v>0</v>
      </c>
      <c r="BL186" s="334">
        <v>0</v>
      </c>
      <c r="BN186" s="334">
        <v>0</v>
      </c>
    </row>
    <row r="187" spans="1:66" s="334" customFormat="1">
      <c r="A187" s="334" t="s">
        <v>586</v>
      </c>
      <c r="B187" s="334">
        <v>0</v>
      </c>
      <c r="C187" s="334">
        <v>0</v>
      </c>
      <c r="D187" s="334">
        <v>0</v>
      </c>
      <c r="E187" s="334">
        <v>0</v>
      </c>
      <c r="F187" s="334">
        <v>0</v>
      </c>
      <c r="G187" s="334">
        <v>0</v>
      </c>
      <c r="J187" s="334">
        <v>0</v>
      </c>
      <c r="N187" s="334">
        <v>0</v>
      </c>
      <c r="O187" s="334">
        <v>0</v>
      </c>
      <c r="P187" s="334">
        <v>0</v>
      </c>
      <c r="Q187" s="334">
        <v>0</v>
      </c>
      <c r="R187" s="334">
        <v>0</v>
      </c>
      <c r="S187" s="334">
        <v>22593.084115999998</v>
      </c>
      <c r="U187" s="334">
        <v>22593.084115999998</v>
      </c>
      <c r="W187" s="334">
        <v>18163.205381</v>
      </c>
      <c r="Y187" s="334">
        <v>18163.205381</v>
      </c>
      <c r="AA187" s="334">
        <v>0</v>
      </c>
      <c r="AB187" s="334">
        <v>19874.576059999999</v>
      </c>
      <c r="AC187" s="334">
        <v>19930.660272999998</v>
      </c>
      <c r="AD187" s="334">
        <v>0</v>
      </c>
      <c r="AE187" s="334">
        <v>0</v>
      </c>
      <c r="AG187" s="334">
        <v>0</v>
      </c>
      <c r="AK187" s="334">
        <v>0</v>
      </c>
      <c r="AO187" s="334">
        <v>0</v>
      </c>
      <c r="AP187" s="334">
        <v>0</v>
      </c>
      <c r="AQ187" s="334">
        <v>0</v>
      </c>
      <c r="AR187" s="334">
        <v>0</v>
      </c>
      <c r="AS187" s="334">
        <v>0</v>
      </c>
      <c r="AT187" s="334">
        <v>29828.936142999999</v>
      </c>
      <c r="AV187" s="334">
        <v>29828.936142999999</v>
      </c>
      <c r="AX187" s="334">
        <v>29866.963448000002</v>
      </c>
      <c r="AZ187" s="334">
        <v>29866.963448000002</v>
      </c>
      <c r="BB187" s="334">
        <v>0</v>
      </c>
      <c r="BC187" s="334">
        <v>0</v>
      </c>
      <c r="BD187" s="334">
        <v>0</v>
      </c>
      <c r="BE187" s="334">
        <v>0</v>
      </c>
      <c r="BF187" s="334">
        <v>0</v>
      </c>
      <c r="BH187" s="334">
        <v>0</v>
      </c>
      <c r="BJ187" s="334">
        <v>0</v>
      </c>
      <c r="BL187" s="334">
        <v>0</v>
      </c>
      <c r="BN187" s="334">
        <v>0</v>
      </c>
    </row>
    <row r="188" spans="1:66">
      <c r="A188" s="313" t="s">
        <v>587</v>
      </c>
      <c r="B188" s="313">
        <v>0</v>
      </c>
      <c r="C188" s="313">
        <v>0</v>
      </c>
      <c r="D188" s="313">
        <v>0</v>
      </c>
      <c r="E188" s="313">
        <v>0</v>
      </c>
      <c r="F188" s="313">
        <v>0</v>
      </c>
      <c r="G188" s="313">
        <v>0</v>
      </c>
      <c r="J188" s="313">
        <v>0</v>
      </c>
      <c r="N188" s="313">
        <v>0</v>
      </c>
      <c r="O188" s="313">
        <v>0</v>
      </c>
      <c r="P188" s="313">
        <v>0</v>
      </c>
      <c r="Q188" s="313">
        <v>0</v>
      </c>
      <c r="R188" s="313">
        <v>0</v>
      </c>
      <c r="S188" s="313">
        <v>0</v>
      </c>
      <c r="W188" s="313">
        <v>0</v>
      </c>
      <c r="AA188" s="313">
        <v>0</v>
      </c>
      <c r="AB188" s="313">
        <v>0</v>
      </c>
      <c r="AC188" s="313">
        <v>0</v>
      </c>
      <c r="AD188" s="313">
        <v>0</v>
      </c>
      <c r="AE188" s="313">
        <v>0</v>
      </c>
      <c r="AG188" s="313">
        <v>0</v>
      </c>
      <c r="AK188" s="313">
        <v>0</v>
      </c>
      <c r="AO188" s="313">
        <v>0</v>
      </c>
      <c r="AP188" s="313">
        <v>0</v>
      </c>
      <c r="AQ188" s="313">
        <v>0</v>
      </c>
      <c r="AR188" s="313">
        <v>0</v>
      </c>
      <c r="AS188" s="313">
        <v>0</v>
      </c>
      <c r="AT188" s="313">
        <v>0</v>
      </c>
      <c r="AX188" s="313">
        <v>0</v>
      </c>
      <c r="BB188" s="313">
        <v>0</v>
      </c>
      <c r="BC188" s="313">
        <v>0</v>
      </c>
      <c r="BD188" s="313">
        <v>0</v>
      </c>
      <c r="BE188" s="313">
        <v>0</v>
      </c>
      <c r="BF188" s="313">
        <v>0</v>
      </c>
      <c r="BH188" s="313">
        <v>0</v>
      </c>
      <c r="BL188" s="313">
        <v>0</v>
      </c>
    </row>
    <row r="189" spans="1:66">
      <c r="A189" s="313" t="s">
        <v>588</v>
      </c>
      <c r="B189" s="313">
        <v>0</v>
      </c>
      <c r="C189" s="313">
        <v>0</v>
      </c>
      <c r="D189" s="313">
        <v>0</v>
      </c>
      <c r="E189" s="313">
        <v>0</v>
      </c>
      <c r="F189" s="313">
        <v>0</v>
      </c>
      <c r="G189" s="313">
        <v>0</v>
      </c>
      <c r="J189" s="313">
        <v>0</v>
      </c>
      <c r="N189" s="313">
        <v>0</v>
      </c>
      <c r="O189" s="313">
        <v>0</v>
      </c>
      <c r="P189" s="313">
        <v>0</v>
      </c>
      <c r="Q189" s="313">
        <v>0</v>
      </c>
      <c r="R189" s="313">
        <v>0</v>
      </c>
      <c r="S189" s="313">
        <v>0</v>
      </c>
      <c r="W189" s="313">
        <v>0</v>
      </c>
      <c r="AA189" s="313">
        <v>0</v>
      </c>
      <c r="AB189" s="313">
        <v>0</v>
      </c>
      <c r="AC189" s="313">
        <v>0</v>
      </c>
      <c r="AD189" s="313">
        <v>0</v>
      </c>
      <c r="AE189" s="313">
        <v>0</v>
      </c>
      <c r="AG189" s="313">
        <v>0</v>
      </c>
      <c r="AK189" s="313">
        <v>0</v>
      </c>
      <c r="AO189" s="313">
        <v>0</v>
      </c>
      <c r="AP189" s="313">
        <v>0</v>
      </c>
      <c r="AQ189" s="313">
        <v>0</v>
      </c>
      <c r="AR189" s="313">
        <v>0</v>
      </c>
      <c r="AS189" s="313">
        <v>0</v>
      </c>
      <c r="AT189" s="313">
        <v>0</v>
      </c>
      <c r="AX189" s="313">
        <v>0</v>
      </c>
      <c r="BB189" s="313">
        <v>0</v>
      </c>
      <c r="BC189" s="313">
        <v>0</v>
      </c>
      <c r="BD189" s="313">
        <v>0</v>
      </c>
      <c r="BE189" s="313">
        <v>0</v>
      </c>
      <c r="BF189" s="313">
        <v>0</v>
      </c>
      <c r="BH189" s="313">
        <v>0</v>
      </c>
      <c r="BL189" s="313">
        <v>0</v>
      </c>
    </row>
    <row r="190" spans="1:66">
      <c r="A190" s="313" t="s">
        <v>589</v>
      </c>
      <c r="B190" s="313">
        <v>0</v>
      </c>
      <c r="C190" s="313">
        <v>0</v>
      </c>
      <c r="D190" s="313">
        <v>0</v>
      </c>
      <c r="E190" s="313">
        <v>0</v>
      </c>
      <c r="F190" s="313">
        <v>0</v>
      </c>
      <c r="G190" s="313">
        <v>0</v>
      </c>
      <c r="J190" s="313">
        <v>0</v>
      </c>
      <c r="N190" s="313">
        <v>0</v>
      </c>
      <c r="O190" s="313">
        <v>0</v>
      </c>
      <c r="P190" s="313">
        <v>0</v>
      </c>
      <c r="Q190" s="313">
        <v>0</v>
      </c>
      <c r="R190" s="313">
        <v>0</v>
      </c>
      <c r="S190" s="313">
        <v>0</v>
      </c>
      <c r="W190" s="313">
        <v>528.93345699999998</v>
      </c>
      <c r="AA190" s="313">
        <v>0</v>
      </c>
      <c r="AB190" s="313">
        <v>0</v>
      </c>
      <c r="AC190" s="313">
        <v>0</v>
      </c>
      <c r="AD190" s="313">
        <v>0</v>
      </c>
      <c r="AE190" s="313">
        <v>0</v>
      </c>
      <c r="AG190" s="313">
        <v>0</v>
      </c>
      <c r="AK190" s="313">
        <v>3064.1079570000002</v>
      </c>
      <c r="AO190" s="313">
        <v>0</v>
      </c>
      <c r="AP190" s="313">
        <v>0</v>
      </c>
      <c r="AQ190" s="313">
        <v>0</v>
      </c>
      <c r="AR190" s="313">
        <v>0</v>
      </c>
      <c r="AS190" s="313">
        <v>0</v>
      </c>
      <c r="AT190" s="313">
        <v>0</v>
      </c>
      <c r="AX190" s="313">
        <v>1283.8453849999999</v>
      </c>
      <c r="BB190" s="313">
        <v>0</v>
      </c>
      <c r="BC190" s="313">
        <v>0</v>
      </c>
      <c r="BD190" s="313">
        <v>0</v>
      </c>
      <c r="BE190" s="313">
        <v>0</v>
      </c>
      <c r="BF190" s="313">
        <v>0</v>
      </c>
      <c r="BH190" s="313">
        <v>0</v>
      </c>
      <c r="BL190" s="313">
        <v>2843.9167950000001</v>
      </c>
    </row>
    <row r="191" spans="1:66">
      <c r="A191" s="313" t="s">
        <v>590</v>
      </c>
      <c r="B191" s="313">
        <v>0</v>
      </c>
      <c r="C191" s="313">
        <v>0</v>
      </c>
      <c r="D191" s="313">
        <v>0</v>
      </c>
      <c r="E191" s="313">
        <v>841.89189199999998</v>
      </c>
      <c r="F191" s="313">
        <v>877.77204499999993</v>
      </c>
      <c r="G191" s="313">
        <v>893.34588100000008</v>
      </c>
      <c r="J191" s="313">
        <v>2312.307186</v>
      </c>
      <c r="N191" s="313">
        <v>0</v>
      </c>
      <c r="O191" s="313">
        <v>0</v>
      </c>
      <c r="P191" s="313">
        <v>0</v>
      </c>
      <c r="Q191" s="313">
        <v>0</v>
      </c>
      <c r="R191" s="313">
        <v>0</v>
      </c>
      <c r="S191" s="313">
        <v>0</v>
      </c>
      <c r="W191" s="313">
        <v>0</v>
      </c>
      <c r="AA191" s="313">
        <v>0</v>
      </c>
      <c r="AB191" s="313">
        <v>0</v>
      </c>
      <c r="AC191" s="313">
        <v>0</v>
      </c>
      <c r="AD191" s="313">
        <v>0</v>
      </c>
      <c r="AE191" s="313">
        <v>0</v>
      </c>
      <c r="AG191" s="313">
        <v>0</v>
      </c>
      <c r="AK191" s="313">
        <v>0</v>
      </c>
      <c r="AO191" s="313">
        <v>0</v>
      </c>
      <c r="AP191" s="313">
        <v>0</v>
      </c>
      <c r="AQ191" s="313">
        <v>0</v>
      </c>
      <c r="AR191" s="313">
        <v>0</v>
      </c>
      <c r="AS191" s="313">
        <v>0</v>
      </c>
      <c r="AT191" s="313">
        <v>0</v>
      </c>
      <c r="AX191" s="313">
        <v>0</v>
      </c>
      <c r="BB191" s="313">
        <v>0</v>
      </c>
      <c r="BC191" s="313">
        <v>0</v>
      </c>
      <c r="BD191" s="313">
        <v>0</v>
      </c>
      <c r="BE191" s="313">
        <v>0</v>
      </c>
      <c r="BF191" s="313">
        <v>0</v>
      </c>
      <c r="BH191" s="313">
        <v>0</v>
      </c>
      <c r="BL191" s="313">
        <v>0</v>
      </c>
    </row>
    <row r="192" spans="1:66">
      <c r="A192" s="313" t="s">
        <v>591</v>
      </c>
      <c r="B192" s="313">
        <v>0</v>
      </c>
      <c r="C192" s="313">
        <v>0</v>
      </c>
      <c r="D192" s="313">
        <v>0</v>
      </c>
      <c r="E192" s="313">
        <v>841.89189199999998</v>
      </c>
      <c r="F192" s="313">
        <v>877.77204499999993</v>
      </c>
      <c r="G192" s="313">
        <v>893.34588100000008</v>
      </c>
      <c r="J192" s="313">
        <v>0</v>
      </c>
      <c r="N192" s="313">
        <v>0</v>
      </c>
      <c r="O192" s="313">
        <v>0</v>
      </c>
      <c r="P192" s="313">
        <v>0</v>
      </c>
      <c r="Q192" s="313">
        <v>0</v>
      </c>
      <c r="R192" s="313">
        <v>0</v>
      </c>
      <c r="S192" s="313">
        <v>0</v>
      </c>
      <c r="W192" s="313">
        <v>0</v>
      </c>
      <c r="AA192" s="313">
        <v>0</v>
      </c>
      <c r="AB192" s="313">
        <v>0</v>
      </c>
      <c r="AC192" s="313">
        <v>0</v>
      </c>
      <c r="AD192" s="313">
        <v>0</v>
      </c>
      <c r="AE192" s="313">
        <v>0</v>
      </c>
      <c r="AG192" s="313">
        <v>0</v>
      </c>
      <c r="AK192" s="313">
        <v>0</v>
      </c>
      <c r="AO192" s="313">
        <v>0</v>
      </c>
      <c r="AP192" s="313">
        <v>0</v>
      </c>
      <c r="AQ192" s="313">
        <v>0</v>
      </c>
      <c r="AR192" s="313">
        <v>0</v>
      </c>
      <c r="AS192" s="313">
        <v>0</v>
      </c>
      <c r="AT192" s="313">
        <v>0</v>
      </c>
      <c r="AX192" s="313">
        <v>0</v>
      </c>
      <c r="BB192" s="313">
        <v>0</v>
      </c>
      <c r="BC192" s="313">
        <v>0</v>
      </c>
      <c r="BD192" s="313">
        <v>0</v>
      </c>
      <c r="BE192" s="313">
        <v>0</v>
      </c>
      <c r="BF192" s="313">
        <v>0</v>
      </c>
      <c r="BH192" s="313">
        <v>0</v>
      </c>
      <c r="BL192" s="313">
        <v>0</v>
      </c>
    </row>
    <row r="193" spans="1:66">
      <c r="A193" s="313" t="s">
        <v>592</v>
      </c>
      <c r="B193" s="313">
        <v>0</v>
      </c>
      <c r="C193" s="313">
        <v>0</v>
      </c>
      <c r="D193" s="313">
        <v>0</v>
      </c>
      <c r="E193" s="313">
        <v>0</v>
      </c>
      <c r="F193" s="313">
        <v>0</v>
      </c>
      <c r="G193" s="313">
        <v>0</v>
      </c>
      <c r="J193" s="313">
        <v>0</v>
      </c>
      <c r="N193" s="313">
        <v>0</v>
      </c>
      <c r="O193" s="313">
        <v>0</v>
      </c>
      <c r="P193" s="313">
        <v>0</v>
      </c>
      <c r="Q193" s="313">
        <v>0</v>
      </c>
      <c r="R193" s="313">
        <v>0</v>
      </c>
      <c r="S193" s="313">
        <v>0</v>
      </c>
      <c r="W193" s="313">
        <v>0</v>
      </c>
      <c r="AA193" s="313">
        <v>0</v>
      </c>
      <c r="AB193" s="313">
        <v>0</v>
      </c>
      <c r="AC193" s="313">
        <v>0</v>
      </c>
      <c r="AD193" s="313">
        <v>0</v>
      </c>
      <c r="AE193" s="313">
        <v>0</v>
      </c>
      <c r="AG193" s="313">
        <v>0</v>
      </c>
      <c r="AK193" s="313">
        <v>0</v>
      </c>
      <c r="AO193" s="313">
        <v>0</v>
      </c>
      <c r="AP193" s="313">
        <v>0</v>
      </c>
      <c r="AQ193" s="313">
        <v>0</v>
      </c>
      <c r="AR193" s="313">
        <v>0</v>
      </c>
      <c r="AS193" s="313">
        <v>0</v>
      </c>
      <c r="AT193" s="313">
        <v>0</v>
      </c>
      <c r="AX193" s="313">
        <v>0</v>
      </c>
      <c r="BB193" s="313">
        <v>0</v>
      </c>
      <c r="BC193" s="313">
        <v>0</v>
      </c>
      <c r="BD193" s="313">
        <v>0</v>
      </c>
      <c r="BE193" s="313">
        <v>0</v>
      </c>
      <c r="BF193" s="313">
        <v>0</v>
      </c>
      <c r="BH193" s="313">
        <v>0</v>
      </c>
      <c r="BL193" s="313">
        <v>0</v>
      </c>
    </row>
    <row r="194" spans="1:66">
      <c r="A194" s="313" t="s">
        <v>593</v>
      </c>
      <c r="B194" s="313">
        <v>0</v>
      </c>
      <c r="C194" s="313">
        <v>0</v>
      </c>
      <c r="D194" s="313">
        <v>0</v>
      </c>
      <c r="E194" s="313">
        <v>0</v>
      </c>
      <c r="F194" s="313">
        <v>0</v>
      </c>
      <c r="G194" s="313">
        <v>0</v>
      </c>
      <c r="J194" s="313">
        <v>0</v>
      </c>
      <c r="N194" s="313">
        <v>0</v>
      </c>
      <c r="O194" s="313">
        <v>0</v>
      </c>
      <c r="P194" s="313">
        <v>0</v>
      </c>
      <c r="Q194" s="313">
        <v>0</v>
      </c>
      <c r="R194" s="313">
        <v>0</v>
      </c>
      <c r="S194" s="313">
        <v>0</v>
      </c>
      <c r="W194" s="313">
        <v>0</v>
      </c>
      <c r="AA194" s="313">
        <v>0</v>
      </c>
      <c r="AB194" s="313">
        <v>0</v>
      </c>
      <c r="AC194" s="313">
        <v>0</v>
      </c>
      <c r="AD194" s="313">
        <v>0</v>
      </c>
      <c r="AE194" s="313">
        <v>0</v>
      </c>
      <c r="AG194" s="313">
        <v>0</v>
      </c>
      <c r="AK194" s="313">
        <v>0</v>
      </c>
      <c r="AO194" s="313">
        <v>0</v>
      </c>
      <c r="AP194" s="313">
        <v>0</v>
      </c>
      <c r="AQ194" s="313">
        <v>0</v>
      </c>
      <c r="AR194" s="313">
        <v>0</v>
      </c>
      <c r="AS194" s="313">
        <v>0</v>
      </c>
      <c r="AT194" s="313">
        <v>0</v>
      </c>
      <c r="AX194" s="313">
        <v>0</v>
      </c>
      <c r="BB194" s="313">
        <v>0</v>
      </c>
      <c r="BC194" s="313">
        <v>0</v>
      </c>
      <c r="BD194" s="313">
        <v>0</v>
      </c>
      <c r="BE194" s="313">
        <v>0</v>
      </c>
      <c r="BF194" s="313">
        <v>0</v>
      </c>
      <c r="BH194" s="313">
        <v>0</v>
      </c>
      <c r="BL194" s="313">
        <v>0</v>
      </c>
    </row>
    <row r="195" spans="1:66">
      <c r="A195" s="313" t="s">
        <v>594</v>
      </c>
      <c r="B195" s="313">
        <v>0</v>
      </c>
      <c r="C195" s="313">
        <v>0</v>
      </c>
      <c r="D195" s="313">
        <v>0</v>
      </c>
      <c r="E195" s="313">
        <v>411.843188</v>
      </c>
      <c r="F195" s="313">
        <v>492.37628600000005</v>
      </c>
      <c r="G195" s="313">
        <v>543.79851100000008</v>
      </c>
      <c r="J195" s="313">
        <v>632.34520299999997</v>
      </c>
      <c r="N195" s="313">
        <v>729.25742600000001</v>
      </c>
      <c r="O195" s="313">
        <v>1136.9256869999999</v>
      </c>
      <c r="P195" s="313">
        <v>134.028222</v>
      </c>
      <c r="Q195" s="313">
        <v>34.063567999999997</v>
      </c>
      <c r="R195" s="313">
        <v>121.62381000000001</v>
      </c>
      <c r="S195" s="313">
        <v>663.49741500000005</v>
      </c>
      <c r="W195" s="313">
        <v>965.66370900000004</v>
      </c>
      <c r="AA195" s="313">
        <v>0</v>
      </c>
      <c r="AB195" s="313">
        <v>0</v>
      </c>
      <c r="AC195" s="313">
        <v>0</v>
      </c>
      <c r="AD195" s="313">
        <v>0</v>
      </c>
      <c r="AE195" s="313">
        <v>0</v>
      </c>
      <c r="AG195" s="313">
        <v>0</v>
      </c>
      <c r="AK195" s="313">
        <v>0</v>
      </c>
      <c r="AO195" s="313">
        <v>37.549999999999997</v>
      </c>
      <c r="AP195" s="313">
        <v>37.549999999999997</v>
      </c>
      <c r="AQ195" s="313">
        <v>37.549999999999997</v>
      </c>
      <c r="AR195" s="313">
        <v>37.549999999999997</v>
      </c>
      <c r="AS195" s="313">
        <v>0</v>
      </c>
      <c r="AT195" s="313">
        <v>0</v>
      </c>
      <c r="AX195" s="313">
        <v>0</v>
      </c>
      <c r="BB195" s="313">
        <v>0</v>
      </c>
      <c r="BC195" s="313">
        <v>0</v>
      </c>
      <c r="BD195" s="313">
        <v>0</v>
      </c>
      <c r="BE195" s="313">
        <v>0</v>
      </c>
      <c r="BF195" s="313">
        <v>0</v>
      </c>
      <c r="BH195" s="313">
        <v>0</v>
      </c>
      <c r="BL195" s="313">
        <v>0</v>
      </c>
    </row>
    <row r="196" spans="1:66">
      <c r="A196" s="313" t="s">
        <v>595</v>
      </c>
      <c r="B196" s="313">
        <v>20.766987</v>
      </c>
      <c r="C196" s="313">
        <v>30.534808000000002</v>
      </c>
      <c r="D196" s="313">
        <v>26.126290000000001</v>
      </c>
      <c r="E196" s="313">
        <v>442.209991</v>
      </c>
      <c r="F196" s="313">
        <v>599.046155</v>
      </c>
      <c r="G196" s="313">
        <v>317.41141800000003</v>
      </c>
      <c r="H196" s="313">
        <v>317.41141800000003</v>
      </c>
      <c r="J196" s="313">
        <v>286.64595000000003</v>
      </c>
      <c r="K196" s="313">
        <v>286.64595000000003</v>
      </c>
      <c r="N196" s="313">
        <v>0</v>
      </c>
      <c r="O196" s="313">
        <v>0</v>
      </c>
      <c r="P196" s="313">
        <v>0</v>
      </c>
      <c r="Q196" s="313">
        <v>173.38659799999999</v>
      </c>
      <c r="R196" s="313">
        <v>130.955184</v>
      </c>
      <c r="S196" s="313">
        <v>110.446584</v>
      </c>
      <c r="T196" s="313">
        <v>110.446584</v>
      </c>
      <c r="W196" s="313">
        <v>95.065134</v>
      </c>
      <c r="X196" s="313">
        <v>95.065134</v>
      </c>
      <c r="AA196" s="313">
        <v>0</v>
      </c>
      <c r="AB196" s="313">
        <v>0</v>
      </c>
      <c r="AC196" s="313">
        <v>0</v>
      </c>
      <c r="AD196" s="313">
        <v>0</v>
      </c>
      <c r="AE196" s="313">
        <v>492.89383099999998</v>
      </c>
      <c r="AG196" s="313">
        <v>537.52783099999999</v>
      </c>
      <c r="AH196" s="313">
        <v>537.52783099999999</v>
      </c>
      <c r="AK196" s="313">
        <v>537.52783099999999</v>
      </c>
      <c r="AL196" s="313">
        <v>537.52783099999999</v>
      </c>
      <c r="AO196" s="313">
        <v>0</v>
      </c>
      <c r="AP196" s="313">
        <v>0</v>
      </c>
      <c r="AQ196" s="313">
        <v>0</v>
      </c>
      <c r="AR196" s="313">
        <v>178.74351399999998</v>
      </c>
      <c r="AS196" s="313">
        <v>400.56860499999999</v>
      </c>
      <c r="AT196" s="313">
        <v>1117.2583480000001</v>
      </c>
      <c r="AU196" s="313">
        <v>1117.2583480000001</v>
      </c>
      <c r="AX196" s="313">
        <v>1148.822193</v>
      </c>
      <c r="AY196" s="313">
        <v>1148.822193</v>
      </c>
      <c r="BB196" s="313">
        <v>170.33026599999999</v>
      </c>
      <c r="BC196" s="313">
        <v>169.84877600000002</v>
      </c>
      <c r="BD196" s="313">
        <v>69.367287000000005</v>
      </c>
      <c r="BE196" s="313">
        <v>31.502666999999999</v>
      </c>
      <c r="BF196" s="313">
        <v>13.439167000000001</v>
      </c>
      <c r="BH196" s="313">
        <v>5.375667</v>
      </c>
      <c r="BI196" s="313">
        <v>5.375667</v>
      </c>
      <c r="BL196" s="313">
        <v>0</v>
      </c>
      <c r="BM196" s="313">
        <v>0</v>
      </c>
    </row>
    <row r="197" spans="1:66">
      <c r="A197" s="313" t="s">
        <v>596</v>
      </c>
      <c r="B197" s="313">
        <v>814.23866599999997</v>
      </c>
      <c r="C197" s="313">
        <v>990.82433400000002</v>
      </c>
      <c r="D197" s="313">
        <v>876.91500099999996</v>
      </c>
      <c r="E197" s="313">
        <v>3953.3390630000004</v>
      </c>
      <c r="F197" s="313">
        <v>3966.7630649999996</v>
      </c>
      <c r="G197" s="313">
        <v>5336.5742329999994</v>
      </c>
      <c r="H197" s="313">
        <v>800.48613494999984</v>
      </c>
      <c r="I197" s="313" t="s">
        <v>870</v>
      </c>
      <c r="J197" s="313">
        <v>4765.8436090000005</v>
      </c>
      <c r="K197" s="313">
        <v>714.87654135000002</v>
      </c>
      <c r="L197" s="313" t="s">
        <v>870</v>
      </c>
      <c r="N197" s="313">
        <v>0</v>
      </c>
      <c r="O197" s="313">
        <v>0</v>
      </c>
      <c r="P197" s="313">
        <v>0</v>
      </c>
      <c r="Q197" s="313">
        <v>0</v>
      </c>
      <c r="R197" s="313">
        <v>0</v>
      </c>
      <c r="S197" s="313">
        <v>0</v>
      </c>
      <c r="W197" s="313">
        <v>0</v>
      </c>
      <c r="AA197" s="313">
        <v>2388.891912</v>
      </c>
      <c r="AB197" s="313">
        <v>2543.3289479999999</v>
      </c>
      <c r="AC197" s="313">
        <v>2887.4622170000002</v>
      </c>
      <c r="AD197" s="313">
        <v>1846.454825</v>
      </c>
      <c r="AE197" s="313">
        <v>1491.418435</v>
      </c>
      <c r="AG197" s="313">
        <v>1024.6710539999999</v>
      </c>
      <c r="AH197" s="313">
        <v>153.70065809999997</v>
      </c>
      <c r="AK197" s="313">
        <v>963.64772600000003</v>
      </c>
      <c r="AL197" s="313">
        <v>144.5471589</v>
      </c>
      <c r="AM197" s="313" t="s">
        <v>870</v>
      </c>
      <c r="AO197" s="313">
        <v>482.816667</v>
      </c>
      <c r="AP197" s="313">
        <v>384.616671</v>
      </c>
      <c r="AQ197" s="313">
        <v>1760.4166749999999</v>
      </c>
      <c r="AR197" s="313">
        <v>4184.5072209999998</v>
      </c>
      <c r="AS197" s="313">
        <v>6960.6277150000005</v>
      </c>
      <c r="AT197" s="313">
        <v>8042.0788249999996</v>
      </c>
      <c r="AU197" s="313">
        <v>804.20788249999998</v>
      </c>
      <c r="AX197" s="313">
        <v>10919.94558</v>
      </c>
      <c r="AY197" s="313">
        <v>1091.9945580000001</v>
      </c>
      <c r="BB197" s="313">
        <v>344.19257999999996</v>
      </c>
      <c r="BC197" s="313">
        <v>203.33947800000001</v>
      </c>
      <c r="BD197" s="313">
        <v>397.97247799999997</v>
      </c>
      <c r="BE197" s="313">
        <v>546.88199999999995</v>
      </c>
      <c r="BF197" s="313">
        <v>553.86</v>
      </c>
      <c r="BH197" s="313">
        <v>3612.1515990000003</v>
      </c>
      <c r="BI197" s="313">
        <v>541.82273985000006</v>
      </c>
      <c r="BL197" s="313">
        <v>4130.1616290000002</v>
      </c>
      <c r="BM197" s="313">
        <v>619.52424435</v>
      </c>
    </row>
    <row r="198" spans="1:66">
      <c r="A198" s="313" t="s">
        <v>597</v>
      </c>
      <c r="B198" s="313">
        <v>0</v>
      </c>
      <c r="C198" s="313">
        <v>0</v>
      </c>
      <c r="D198" s="313">
        <v>0</v>
      </c>
      <c r="E198" s="313">
        <v>0</v>
      </c>
      <c r="F198" s="313">
        <v>0</v>
      </c>
      <c r="G198" s="313">
        <v>0</v>
      </c>
      <c r="J198" s="313">
        <v>0</v>
      </c>
      <c r="N198" s="313">
        <v>0</v>
      </c>
      <c r="O198" s="313">
        <v>0</v>
      </c>
      <c r="P198" s="313">
        <v>0</v>
      </c>
      <c r="Q198" s="313">
        <v>0</v>
      </c>
      <c r="R198" s="313">
        <v>0</v>
      </c>
      <c r="S198" s="313">
        <v>0</v>
      </c>
      <c r="W198" s="313">
        <v>0</v>
      </c>
      <c r="AA198" s="313">
        <v>0</v>
      </c>
      <c r="AB198" s="313">
        <v>0</v>
      </c>
      <c r="AC198" s="313">
        <v>0</v>
      </c>
      <c r="AD198" s="313">
        <v>0</v>
      </c>
      <c r="AE198" s="313">
        <v>0</v>
      </c>
      <c r="AG198" s="313">
        <v>0</v>
      </c>
      <c r="AK198" s="313">
        <v>0</v>
      </c>
      <c r="AO198" s="313">
        <v>0</v>
      </c>
      <c r="AP198" s="313">
        <v>0</v>
      </c>
      <c r="AQ198" s="313">
        <v>0</v>
      </c>
      <c r="AR198" s="313">
        <v>0</v>
      </c>
      <c r="AS198" s="313">
        <v>0</v>
      </c>
      <c r="AT198" s="313">
        <v>0</v>
      </c>
      <c r="AX198" s="313">
        <v>0</v>
      </c>
      <c r="BB198" s="313">
        <v>0</v>
      </c>
      <c r="BC198" s="313">
        <v>0</v>
      </c>
      <c r="BD198" s="313">
        <v>0</v>
      </c>
      <c r="BE198" s="313">
        <v>0</v>
      </c>
      <c r="BF198" s="313">
        <v>0</v>
      </c>
      <c r="BH198" s="313">
        <v>0</v>
      </c>
      <c r="BL198" s="313">
        <v>0</v>
      </c>
    </row>
    <row r="199" spans="1:66">
      <c r="A199" s="313" t="s">
        <v>598</v>
      </c>
      <c r="B199" s="313">
        <v>0</v>
      </c>
      <c r="C199" s="313">
        <v>0</v>
      </c>
      <c r="D199" s="313">
        <v>0</v>
      </c>
      <c r="E199" s="313">
        <v>0</v>
      </c>
      <c r="F199" s="313">
        <v>0</v>
      </c>
      <c r="G199" s="313">
        <v>0</v>
      </c>
      <c r="J199" s="313">
        <v>0</v>
      </c>
      <c r="N199" s="313">
        <v>0</v>
      </c>
      <c r="O199" s="313">
        <v>0</v>
      </c>
      <c r="P199" s="313">
        <v>0</v>
      </c>
      <c r="Q199" s="313">
        <v>0</v>
      </c>
      <c r="R199" s="313">
        <v>0</v>
      </c>
      <c r="S199" s="313">
        <v>0</v>
      </c>
      <c r="W199" s="313">
        <v>0</v>
      </c>
      <c r="AA199" s="313">
        <v>0</v>
      </c>
      <c r="AB199" s="313">
        <v>0</v>
      </c>
      <c r="AC199" s="313">
        <v>0</v>
      </c>
      <c r="AD199" s="313">
        <v>0</v>
      </c>
      <c r="AE199" s="313">
        <v>0</v>
      </c>
      <c r="AG199" s="313">
        <v>0</v>
      </c>
      <c r="AK199" s="313">
        <v>0</v>
      </c>
      <c r="AO199" s="313">
        <v>0</v>
      </c>
      <c r="AP199" s="313">
        <v>0</v>
      </c>
      <c r="AQ199" s="313">
        <v>0</v>
      </c>
      <c r="AR199" s="313">
        <v>0</v>
      </c>
      <c r="AS199" s="313">
        <v>0</v>
      </c>
      <c r="AT199" s="313">
        <v>0</v>
      </c>
      <c r="AX199" s="313">
        <v>0</v>
      </c>
      <c r="BB199" s="313">
        <v>0</v>
      </c>
      <c r="BC199" s="313">
        <v>0</v>
      </c>
      <c r="BD199" s="313">
        <v>0</v>
      </c>
      <c r="BE199" s="313">
        <v>0</v>
      </c>
      <c r="BF199" s="313">
        <v>0</v>
      </c>
      <c r="BH199" s="313">
        <v>0</v>
      </c>
      <c r="BL199" s="313">
        <v>0</v>
      </c>
    </row>
    <row r="200" spans="1:66">
      <c r="A200" s="313" t="s">
        <v>599</v>
      </c>
      <c r="B200" s="313">
        <v>0</v>
      </c>
      <c r="C200" s="313">
        <v>0</v>
      </c>
      <c r="D200" s="313">
        <v>0</v>
      </c>
      <c r="E200" s="313">
        <v>0</v>
      </c>
      <c r="F200" s="313">
        <v>0</v>
      </c>
      <c r="G200" s="313">
        <v>0</v>
      </c>
      <c r="J200" s="313">
        <v>0</v>
      </c>
      <c r="N200" s="313">
        <v>0</v>
      </c>
      <c r="O200" s="313">
        <v>0</v>
      </c>
      <c r="P200" s="313">
        <v>0</v>
      </c>
      <c r="Q200" s="313">
        <v>0</v>
      </c>
      <c r="R200" s="313">
        <v>0</v>
      </c>
      <c r="S200" s="313">
        <v>0</v>
      </c>
      <c r="W200" s="313">
        <v>0</v>
      </c>
      <c r="AA200" s="313">
        <v>0</v>
      </c>
      <c r="AB200" s="313">
        <v>0</v>
      </c>
      <c r="AC200" s="313">
        <v>0</v>
      </c>
      <c r="AD200" s="313">
        <v>0</v>
      </c>
      <c r="AE200" s="313">
        <v>0</v>
      </c>
      <c r="AG200" s="313">
        <v>0</v>
      </c>
      <c r="AK200" s="313">
        <v>0</v>
      </c>
      <c r="AO200" s="313">
        <v>0</v>
      </c>
      <c r="AP200" s="313">
        <v>0</v>
      </c>
      <c r="AQ200" s="313">
        <v>0</v>
      </c>
      <c r="AR200" s="313">
        <v>0</v>
      </c>
      <c r="AS200" s="313">
        <v>0</v>
      </c>
      <c r="AT200" s="313">
        <v>0</v>
      </c>
      <c r="AX200" s="313">
        <v>0</v>
      </c>
      <c r="BB200" s="313">
        <v>0</v>
      </c>
      <c r="BC200" s="313">
        <v>0</v>
      </c>
      <c r="BD200" s="313">
        <v>0</v>
      </c>
      <c r="BE200" s="313">
        <v>0</v>
      </c>
      <c r="BF200" s="313">
        <v>0</v>
      </c>
      <c r="BH200" s="313">
        <v>0</v>
      </c>
      <c r="BL200" s="313">
        <v>0</v>
      </c>
    </row>
    <row r="201" spans="1:66">
      <c r="A201" s="333" t="s">
        <v>600</v>
      </c>
      <c r="B201" s="333">
        <v>1285.0056529999999</v>
      </c>
      <c r="C201" s="333">
        <v>1471.359142</v>
      </c>
      <c r="D201" s="333">
        <v>1353.041291</v>
      </c>
      <c r="E201" s="333">
        <v>6099.2841340000004</v>
      </c>
      <c r="F201" s="333">
        <v>15819.470509000001</v>
      </c>
      <c r="G201" s="333">
        <v>8992.0744869999999</v>
      </c>
      <c r="H201" s="333">
        <v>1117.8975529499999</v>
      </c>
      <c r="I201" s="333">
        <v>1900.9444440000002</v>
      </c>
      <c r="J201" s="333">
        <v>15947.141947999999</v>
      </c>
      <c r="K201" s="333">
        <v>1001.5224913500001</v>
      </c>
      <c r="L201" s="333">
        <v>7950</v>
      </c>
      <c r="M201" s="333"/>
      <c r="N201" s="333">
        <v>729.25742600000001</v>
      </c>
      <c r="O201" s="333">
        <v>1136.9256869999999</v>
      </c>
      <c r="P201" s="333">
        <v>134.028222</v>
      </c>
      <c r="Q201" s="333">
        <v>207.450166</v>
      </c>
      <c r="R201" s="333">
        <v>15252.578994</v>
      </c>
      <c r="S201" s="333">
        <v>35367.028115000001</v>
      </c>
      <c r="T201" s="333">
        <v>110.446584</v>
      </c>
      <c r="U201" s="333">
        <v>34593.084115999998</v>
      </c>
      <c r="V201" s="333"/>
      <c r="W201" s="333">
        <v>31002.867681</v>
      </c>
      <c r="X201" s="333">
        <v>95.065134</v>
      </c>
      <c r="Y201" s="333">
        <v>29413.205381</v>
      </c>
      <c r="Z201" s="333"/>
      <c r="AA201" s="333">
        <v>2878.891912</v>
      </c>
      <c r="AB201" s="333">
        <v>22417.905008000002</v>
      </c>
      <c r="AC201" s="333">
        <v>25818.122490000002</v>
      </c>
      <c r="AD201" s="333">
        <v>1846.454825</v>
      </c>
      <c r="AE201" s="333">
        <v>1984.3122659999999</v>
      </c>
      <c r="AF201" s="333"/>
      <c r="AG201" s="333">
        <v>1562.198885</v>
      </c>
      <c r="AH201" s="333">
        <v>691.22848909999993</v>
      </c>
      <c r="AI201" s="333">
        <v>0</v>
      </c>
      <c r="AJ201" s="333"/>
      <c r="AK201" s="333">
        <v>7055.2835139999997</v>
      </c>
      <c r="AL201" s="333">
        <v>682.07498989999999</v>
      </c>
      <c r="AM201" s="333">
        <v>2490</v>
      </c>
      <c r="AN201" s="333"/>
      <c r="AO201" s="333">
        <v>520.36666700000001</v>
      </c>
      <c r="AP201" s="333">
        <v>422.16667100000001</v>
      </c>
      <c r="AQ201" s="333">
        <v>1797.9666749999999</v>
      </c>
      <c r="AR201" s="333">
        <v>4400.8007349999998</v>
      </c>
      <c r="AS201" s="333">
        <v>19361.196319999999</v>
      </c>
      <c r="AT201" s="333">
        <v>45988.273316000006</v>
      </c>
      <c r="AU201" s="333">
        <v>1921.4662305000002</v>
      </c>
      <c r="AV201" s="333">
        <v>36828.936142999999</v>
      </c>
      <c r="AW201" s="333"/>
      <c r="AX201" s="333">
        <v>46570.576606000002</v>
      </c>
      <c r="AY201" s="333">
        <v>2240.8167510000003</v>
      </c>
      <c r="AZ201" s="333">
        <v>33217.963448000002</v>
      </c>
      <c r="BA201" s="333"/>
      <c r="BB201" s="333">
        <v>514.52284599999996</v>
      </c>
      <c r="BC201" s="333">
        <v>373.18825400000003</v>
      </c>
      <c r="BD201" s="333">
        <v>467.33976500000006</v>
      </c>
      <c r="BE201" s="333">
        <v>11778.384667</v>
      </c>
      <c r="BF201" s="333">
        <v>6967.2991670000001</v>
      </c>
      <c r="BG201" s="333"/>
      <c r="BH201" s="333">
        <v>3617.5272659999996</v>
      </c>
      <c r="BI201" s="333">
        <v>547.19840685000008</v>
      </c>
      <c r="BJ201" s="333">
        <v>0</v>
      </c>
      <c r="BK201" s="333"/>
      <c r="BL201" s="333">
        <v>6974.0784239999994</v>
      </c>
      <c r="BM201" s="333">
        <v>619.52424435</v>
      </c>
      <c r="BN201" s="333">
        <v>0</v>
      </c>
    </row>
    <row r="202" spans="1:66">
      <c r="A202" s="313" t="s">
        <v>601</v>
      </c>
      <c r="B202" s="313">
        <v>0</v>
      </c>
      <c r="C202" s="313">
        <v>0</v>
      </c>
      <c r="D202" s="313">
        <v>0</v>
      </c>
      <c r="E202" s="313">
        <v>0</v>
      </c>
      <c r="F202" s="313">
        <v>0</v>
      </c>
      <c r="G202" s="313">
        <v>0</v>
      </c>
      <c r="J202" s="313">
        <v>0</v>
      </c>
      <c r="N202" s="313">
        <v>0</v>
      </c>
      <c r="O202" s="313">
        <v>0</v>
      </c>
      <c r="P202" s="313">
        <v>0</v>
      </c>
      <c r="Q202" s="313">
        <v>0</v>
      </c>
      <c r="R202" s="313">
        <v>0</v>
      </c>
      <c r="S202" s="313">
        <v>0</v>
      </c>
      <c r="W202" s="313">
        <v>0</v>
      </c>
      <c r="AA202" s="313">
        <v>0</v>
      </c>
      <c r="AB202" s="313">
        <v>0</v>
      </c>
      <c r="AC202" s="313">
        <v>0</v>
      </c>
      <c r="AD202" s="313">
        <v>0</v>
      </c>
      <c r="AE202" s="313">
        <v>0</v>
      </c>
      <c r="AG202" s="313">
        <v>0</v>
      </c>
      <c r="AK202" s="313">
        <v>0</v>
      </c>
      <c r="AO202" s="313">
        <v>0</v>
      </c>
      <c r="AP202" s="313">
        <v>0</v>
      </c>
      <c r="AQ202" s="313">
        <v>0</v>
      </c>
      <c r="AR202" s="313">
        <v>0</v>
      </c>
      <c r="AS202" s="313">
        <v>0</v>
      </c>
      <c r="AT202" s="313">
        <v>0</v>
      </c>
      <c r="AX202" s="313">
        <v>0</v>
      </c>
      <c r="BB202" s="313">
        <v>0</v>
      </c>
      <c r="BC202" s="313">
        <v>0</v>
      </c>
      <c r="BD202" s="313">
        <v>0</v>
      </c>
      <c r="BE202" s="313">
        <v>0</v>
      </c>
      <c r="BF202" s="313">
        <v>0</v>
      </c>
      <c r="BH202" s="313">
        <v>0</v>
      </c>
      <c r="BL202" s="313">
        <v>0</v>
      </c>
    </row>
    <row r="203" spans="1:66">
      <c r="A203" s="313" t="s">
        <v>602</v>
      </c>
      <c r="B203" s="313">
        <v>0</v>
      </c>
      <c r="C203" s="313">
        <v>0</v>
      </c>
      <c r="D203" s="313">
        <v>0</v>
      </c>
      <c r="E203" s="313">
        <v>0</v>
      </c>
      <c r="F203" s="313">
        <v>0</v>
      </c>
      <c r="G203" s="313">
        <v>0</v>
      </c>
      <c r="J203" s="313">
        <v>0</v>
      </c>
      <c r="N203" s="313">
        <v>0</v>
      </c>
      <c r="O203" s="313">
        <v>0</v>
      </c>
      <c r="P203" s="313">
        <v>0</v>
      </c>
      <c r="Q203" s="313">
        <v>0</v>
      </c>
      <c r="R203" s="313">
        <v>0</v>
      </c>
      <c r="S203" s="313">
        <v>0</v>
      </c>
      <c r="W203" s="313">
        <v>0</v>
      </c>
      <c r="AA203" s="313">
        <v>0</v>
      </c>
      <c r="AB203" s="313">
        <v>0</v>
      </c>
      <c r="AC203" s="313">
        <v>0</v>
      </c>
      <c r="AD203" s="313">
        <v>0</v>
      </c>
      <c r="AE203" s="313">
        <v>0</v>
      </c>
      <c r="AG203" s="313">
        <v>0</v>
      </c>
      <c r="AK203" s="313">
        <v>0</v>
      </c>
      <c r="AO203" s="313">
        <v>0</v>
      </c>
      <c r="AP203" s="313">
        <v>0</v>
      </c>
      <c r="AQ203" s="313">
        <v>0</v>
      </c>
      <c r="AR203" s="313">
        <v>0</v>
      </c>
      <c r="AS203" s="313">
        <v>0</v>
      </c>
      <c r="AT203" s="313">
        <v>0</v>
      </c>
      <c r="AX203" s="313">
        <v>0</v>
      </c>
      <c r="BB203" s="313">
        <v>0</v>
      </c>
      <c r="BC203" s="313">
        <v>0</v>
      </c>
      <c r="BD203" s="313">
        <v>0</v>
      </c>
      <c r="BE203" s="313">
        <v>0</v>
      </c>
      <c r="BF203" s="313">
        <v>0</v>
      </c>
      <c r="BH203" s="313">
        <v>0</v>
      </c>
      <c r="BL203" s="313">
        <v>0</v>
      </c>
    </row>
    <row r="204" spans="1:66">
      <c r="A204" s="333" t="s">
        <v>603</v>
      </c>
      <c r="B204" s="333">
        <v>19939.214969000001</v>
      </c>
      <c r="C204" s="333">
        <v>50702.313901000001</v>
      </c>
      <c r="D204" s="333">
        <v>69674.649602000005</v>
      </c>
      <c r="E204" s="333">
        <v>81758.178355999989</v>
      </c>
      <c r="F204" s="333">
        <v>111595.741782</v>
      </c>
      <c r="G204" s="333">
        <v>128624.354951</v>
      </c>
      <c r="H204" s="333">
        <v>35604.245675950006</v>
      </c>
      <c r="I204" s="333">
        <v>37088.933125000003</v>
      </c>
      <c r="J204" s="333">
        <v>173272.38635799999</v>
      </c>
      <c r="K204" s="333">
        <v>32401.05560335</v>
      </c>
      <c r="L204" s="333">
        <v>63763.581153000006</v>
      </c>
      <c r="M204" s="333"/>
      <c r="N204" s="333">
        <v>34624.301068000001</v>
      </c>
      <c r="O204" s="333">
        <v>37006.783242000005</v>
      </c>
      <c r="P204" s="333">
        <v>31068.637211000001</v>
      </c>
      <c r="Q204" s="333">
        <v>47748.052775999997</v>
      </c>
      <c r="R204" s="333">
        <v>83143.444346000004</v>
      </c>
      <c r="S204" s="333">
        <v>88417.519409</v>
      </c>
      <c r="T204" s="333">
        <v>236.84015099999999</v>
      </c>
      <c r="U204" s="333">
        <v>65627.264116000006</v>
      </c>
      <c r="V204" s="333"/>
      <c r="W204" s="333">
        <v>92709.791754999998</v>
      </c>
      <c r="X204" s="333">
        <v>205.21244300000001</v>
      </c>
      <c r="Y204" s="333">
        <v>73405.765684999991</v>
      </c>
      <c r="Z204" s="333"/>
      <c r="AA204" s="333">
        <v>106106.523237</v>
      </c>
      <c r="AB204" s="333">
        <v>114597.525544</v>
      </c>
      <c r="AC204" s="333">
        <v>118167.58443599999</v>
      </c>
      <c r="AD204" s="333">
        <v>154343.93140999999</v>
      </c>
      <c r="AE204" s="333">
        <v>244398.03190599999</v>
      </c>
      <c r="AF204" s="333"/>
      <c r="AG204" s="333">
        <v>259898.18583200002</v>
      </c>
      <c r="AH204" s="333">
        <v>3352.1377061000003</v>
      </c>
      <c r="AI204" s="333">
        <v>213303.75468800002</v>
      </c>
      <c r="AJ204" s="333"/>
      <c r="AK204" s="333">
        <v>216866.68688400002</v>
      </c>
      <c r="AL204" s="333">
        <v>4602.3577448999995</v>
      </c>
      <c r="AM204" s="333">
        <v>151873.11172799999</v>
      </c>
      <c r="AN204" s="333"/>
      <c r="AO204" s="333">
        <v>97028.069209000008</v>
      </c>
      <c r="AP204" s="333">
        <v>90109.079937999995</v>
      </c>
      <c r="AQ204" s="333">
        <v>65531.130112999999</v>
      </c>
      <c r="AR204" s="333">
        <v>100352.95305900001</v>
      </c>
      <c r="AS204" s="333">
        <v>102410.86717300001</v>
      </c>
      <c r="AT204" s="333">
        <v>144594.722156</v>
      </c>
      <c r="AU204" s="333">
        <v>7632.5174165000008</v>
      </c>
      <c r="AV204" s="333">
        <v>86583.936142999999</v>
      </c>
      <c r="AW204" s="333"/>
      <c r="AX204" s="333">
        <v>133812.571314</v>
      </c>
      <c r="AY204" s="333">
        <v>4920.1003920000003</v>
      </c>
      <c r="AZ204" s="333">
        <v>96108.275215999995</v>
      </c>
      <c r="BA204" s="333"/>
      <c r="BB204" s="333">
        <v>8191.0955969999995</v>
      </c>
      <c r="BC204" s="333">
        <v>18985.089788000001</v>
      </c>
      <c r="BD204" s="333">
        <v>11488.317069000001</v>
      </c>
      <c r="BE204" s="333">
        <v>60991.014089999997</v>
      </c>
      <c r="BF204" s="333">
        <v>50092.099795000002</v>
      </c>
      <c r="BG204" s="333"/>
      <c r="BH204" s="333">
        <v>39075.044519999996</v>
      </c>
      <c r="BI204" s="333">
        <v>12583.05834385</v>
      </c>
      <c r="BJ204" s="333">
        <v>0</v>
      </c>
      <c r="BK204" s="333"/>
      <c r="BL204" s="333">
        <v>32492.972699999998</v>
      </c>
      <c r="BM204" s="333">
        <v>6675.3609153500001</v>
      </c>
      <c r="BN204" s="333">
        <v>0</v>
      </c>
    </row>
    <row r="205" spans="1:66">
      <c r="A205" s="333" t="s">
        <v>58</v>
      </c>
      <c r="B205" s="333"/>
      <c r="C205" s="333"/>
      <c r="D205" s="333"/>
      <c r="E205" s="333"/>
      <c r="F205" s="333"/>
      <c r="G205" s="333"/>
      <c r="H205" s="333"/>
      <c r="I205" s="333"/>
      <c r="J205" s="333"/>
      <c r="K205" s="333"/>
      <c r="L205" s="333"/>
      <c r="M205" s="333"/>
      <c r="N205" s="333"/>
      <c r="O205" s="333"/>
      <c r="P205" s="333"/>
      <c r="Q205" s="333"/>
      <c r="R205" s="333"/>
      <c r="S205" s="333"/>
      <c r="T205" s="333"/>
      <c r="U205" s="333"/>
      <c r="V205" s="333"/>
      <c r="W205" s="333"/>
      <c r="X205" s="333"/>
      <c r="Y205" s="333"/>
      <c r="Z205" s="333"/>
      <c r="AA205" s="333"/>
      <c r="AB205" s="333"/>
      <c r="AC205" s="333"/>
      <c r="AD205" s="333"/>
      <c r="AE205" s="333"/>
      <c r="AF205" s="333"/>
      <c r="AG205" s="333"/>
      <c r="AH205" s="333"/>
      <c r="AI205" s="333"/>
      <c r="AJ205" s="333"/>
      <c r="AK205" s="333"/>
      <c r="AL205" s="333"/>
      <c r="AM205" s="333"/>
      <c r="AN205" s="333"/>
      <c r="AO205" s="333"/>
      <c r="AP205" s="333"/>
      <c r="AQ205" s="333"/>
      <c r="AR205" s="333"/>
      <c r="AS205" s="333"/>
      <c r="AT205" s="333"/>
      <c r="AU205" s="333"/>
      <c r="AV205" s="333"/>
      <c r="AW205" s="333"/>
      <c r="AX205" s="333"/>
      <c r="AY205" s="333"/>
      <c r="AZ205" s="333"/>
      <c r="BA205" s="333"/>
      <c r="BB205" s="333"/>
      <c r="BC205" s="333"/>
      <c r="BD205" s="333"/>
      <c r="BE205" s="333"/>
      <c r="BF205" s="333"/>
      <c r="BG205" s="333"/>
      <c r="BH205" s="333"/>
      <c r="BI205" s="333"/>
      <c r="BJ205" s="333"/>
      <c r="BK205" s="333"/>
      <c r="BL205" s="333"/>
      <c r="BM205" s="333"/>
      <c r="BN205" s="333"/>
    </row>
    <row r="206" spans="1:66">
      <c r="A206" s="313" t="s">
        <v>604</v>
      </c>
      <c r="B206" s="313">
        <v>6900</v>
      </c>
      <c r="C206" s="313">
        <v>9607.5</v>
      </c>
      <c r="D206" s="313">
        <v>20240</v>
      </c>
      <c r="E206" s="313">
        <v>23923.368399999999</v>
      </c>
      <c r="F206" s="313">
        <v>25038.476200000001</v>
      </c>
      <c r="G206" s="313">
        <v>24951.5065</v>
      </c>
      <c r="J206" s="313">
        <v>24388.585999999999</v>
      </c>
      <c r="N206" s="313">
        <v>5056.5</v>
      </c>
      <c r="O206" s="313">
        <v>5056.5</v>
      </c>
      <c r="P206" s="313">
        <v>8843.15</v>
      </c>
      <c r="Q206" s="313">
        <v>10611.78</v>
      </c>
      <c r="R206" s="313">
        <v>15765.171200000001</v>
      </c>
      <c r="S206" s="313">
        <v>15765.274600000001</v>
      </c>
      <c r="W206" s="313">
        <v>20989.772300000001</v>
      </c>
      <c r="AA206" s="313">
        <v>32354.18</v>
      </c>
      <c r="AB206" s="313">
        <v>35795.548199999997</v>
      </c>
      <c r="AC206" s="313">
        <v>39973.726999999999</v>
      </c>
      <c r="AD206" s="313">
        <v>39908.385999999999</v>
      </c>
      <c r="AE206" s="313">
        <v>63774.467199999999</v>
      </c>
      <c r="AG206" s="313">
        <v>63774.467199999999</v>
      </c>
      <c r="AK206" s="313">
        <v>63774.467199999999</v>
      </c>
      <c r="AO206" s="313">
        <v>56532.774799999999</v>
      </c>
      <c r="AP206" s="313">
        <v>65620.062300000005</v>
      </c>
      <c r="AQ206" s="313">
        <v>104996.948</v>
      </c>
      <c r="AR206" s="313">
        <v>105668.0094</v>
      </c>
      <c r="AS206" s="313">
        <v>105668.0094</v>
      </c>
      <c r="AT206" s="313">
        <v>105619.04949999999</v>
      </c>
      <c r="AX206" s="313">
        <v>115771.3337</v>
      </c>
      <c r="BB206" s="313">
        <v>11522.03</v>
      </c>
      <c r="BC206" s="313">
        <v>13839.348400000001</v>
      </c>
      <c r="BD206" s="313">
        <v>27703.1708</v>
      </c>
      <c r="BE206" s="313">
        <v>27703.1708</v>
      </c>
      <c r="BF206" s="313">
        <v>28129.570800000001</v>
      </c>
      <c r="BH206" s="313">
        <v>28355.220799999999</v>
      </c>
      <c r="BL206" s="313">
        <v>45551.533199999998</v>
      </c>
    </row>
    <row r="207" spans="1:66">
      <c r="A207" s="313" t="s">
        <v>605</v>
      </c>
      <c r="B207" s="313">
        <v>6357.0747350000001</v>
      </c>
      <c r="C207" s="313">
        <v>42200.887039000001</v>
      </c>
      <c r="D207" s="313">
        <v>16453.120736000001</v>
      </c>
      <c r="E207" s="313">
        <v>81455.564008000001</v>
      </c>
      <c r="F207" s="313">
        <v>96948.180340999999</v>
      </c>
      <c r="G207" s="313">
        <v>95510.678467999998</v>
      </c>
      <c r="J207" s="313">
        <v>84254.992032000009</v>
      </c>
      <c r="N207" s="313">
        <v>9301.3978580000003</v>
      </c>
      <c r="O207" s="313">
        <v>9730.0717879999993</v>
      </c>
      <c r="P207" s="313">
        <v>31588.856674000002</v>
      </c>
      <c r="Q207" s="313">
        <v>30050.698055000001</v>
      </c>
      <c r="R207" s="313">
        <v>23132.702459</v>
      </c>
      <c r="S207" s="313">
        <v>23159.222927999999</v>
      </c>
      <c r="W207" s="313">
        <v>24644.920752999999</v>
      </c>
      <c r="AA207" s="313">
        <v>53017.414320999997</v>
      </c>
      <c r="AB207" s="313">
        <v>105493.67630800001</v>
      </c>
      <c r="AC207" s="313">
        <v>172463.79616099998</v>
      </c>
      <c r="AD207" s="313">
        <v>171896.87401099998</v>
      </c>
      <c r="AE207" s="313">
        <v>147354.17534000002</v>
      </c>
      <c r="AG207" s="313">
        <v>147354.17534000002</v>
      </c>
      <c r="AK207" s="313">
        <v>147333.492531</v>
      </c>
      <c r="AO207" s="313">
        <v>69063.648078999991</v>
      </c>
      <c r="AP207" s="313">
        <v>249374.699242</v>
      </c>
      <c r="AQ207" s="313">
        <v>210640.621981</v>
      </c>
      <c r="AR207" s="313">
        <v>216777.54519699997</v>
      </c>
      <c r="AS207" s="313">
        <v>218637.72298600001</v>
      </c>
      <c r="AT207" s="313">
        <v>218270.85209600002</v>
      </c>
      <c r="AX207" s="313">
        <v>286182.32715500001</v>
      </c>
      <c r="BB207" s="313">
        <v>49869.357219999998</v>
      </c>
      <c r="BC207" s="313">
        <v>131196.331668</v>
      </c>
      <c r="BD207" s="313">
        <v>118137.480482</v>
      </c>
      <c r="BE207" s="313">
        <v>118408.62557999999</v>
      </c>
      <c r="BF207" s="313">
        <v>127151.521547</v>
      </c>
      <c r="BH207" s="313">
        <v>130433.093528</v>
      </c>
      <c r="BL207" s="313">
        <v>114939.78816500001</v>
      </c>
    </row>
    <row r="208" spans="1:66">
      <c r="A208" s="313" t="s">
        <v>606</v>
      </c>
      <c r="B208" s="313">
        <v>0</v>
      </c>
      <c r="C208" s="313">
        <v>18031.875</v>
      </c>
      <c r="D208" s="313">
        <v>0</v>
      </c>
      <c r="E208" s="313">
        <v>0</v>
      </c>
      <c r="F208" s="313">
        <v>1606.330359</v>
      </c>
      <c r="G208" s="313">
        <v>12012.723470000001</v>
      </c>
      <c r="J208" s="313">
        <v>0</v>
      </c>
      <c r="N208" s="313">
        <v>0</v>
      </c>
      <c r="O208" s="313">
        <v>0</v>
      </c>
      <c r="P208" s="313">
        <v>2120.85</v>
      </c>
      <c r="Q208" s="313">
        <v>2120.85</v>
      </c>
      <c r="R208" s="313">
        <v>399.762496</v>
      </c>
      <c r="S208" s="313">
        <v>399.762496</v>
      </c>
      <c r="W208" s="313">
        <v>399.762496</v>
      </c>
      <c r="AA208" s="313">
        <v>0</v>
      </c>
      <c r="AB208" s="313">
        <v>0</v>
      </c>
      <c r="AC208" s="313">
        <v>263.40177999999997</v>
      </c>
      <c r="AD208" s="313">
        <v>129.56350499999999</v>
      </c>
      <c r="AE208" s="313">
        <v>0</v>
      </c>
      <c r="AG208" s="313">
        <v>0</v>
      </c>
      <c r="AK208" s="313">
        <v>0</v>
      </c>
      <c r="AO208" s="313">
        <v>0</v>
      </c>
      <c r="AP208" s="313">
        <v>11910.59</v>
      </c>
      <c r="AQ208" s="313">
        <v>8139.6138040000005</v>
      </c>
      <c r="AR208" s="313">
        <v>9968.6273620000011</v>
      </c>
      <c r="AS208" s="313">
        <v>3844.8416999999999</v>
      </c>
      <c r="AT208" s="313">
        <v>2134.2031200000001</v>
      </c>
      <c r="AX208" s="313">
        <v>0</v>
      </c>
      <c r="BB208" s="313">
        <v>0</v>
      </c>
      <c r="BC208" s="313">
        <v>0</v>
      </c>
      <c r="BD208" s="313">
        <v>0</v>
      </c>
      <c r="BE208" s="313">
        <v>15000.458415999999</v>
      </c>
      <c r="BF208" s="313">
        <v>15000.458415999999</v>
      </c>
      <c r="BH208" s="313">
        <v>0</v>
      </c>
      <c r="BL208" s="313">
        <v>0</v>
      </c>
    </row>
    <row r="209" spans="1:66">
      <c r="A209" s="313" t="s">
        <v>607</v>
      </c>
      <c r="B209" s="313">
        <v>10.683966999999999</v>
      </c>
      <c r="C209" s="313">
        <v>31.421728000000002</v>
      </c>
      <c r="D209" s="313">
        <v>14.874857999999998</v>
      </c>
      <c r="E209" s="313">
        <v>39.185161000000001</v>
      </c>
      <c r="F209" s="313">
        <v>1605.1873820000001</v>
      </c>
      <c r="G209" s="313">
        <v>4131.387041</v>
      </c>
      <c r="J209" s="313">
        <v>4083.5383049999996</v>
      </c>
      <c r="N209" s="313">
        <v>0.99947199999999992</v>
      </c>
      <c r="O209" s="313">
        <v>5.8541360000000005</v>
      </c>
      <c r="P209" s="313">
        <v>1.360179</v>
      </c>
      <c r="Q209" s="313">
        <v>3.2916449999999995</v>
      </c>
      <c r="R209" s="313">
        <v>3.7408709999999998</v>
      </c>
      <c r="S209" s="313">
        <v>1.545218</v>
      </c>
      <c r="W209" s="313">
        <v>1.2410479999999999</v>
      </c>
      <c r="AA209" s="313">
        <v>0</v>
      </c>
      <c r="AB209" s="313">
        <v>0</v>
      </c>
      <c r="AC209" s="313">
        <v>0</v>
      </c>
      <c r="AD209" s="313">
        <v>0</v>
      </c>
      <c r="AE209" s="313">
        <v>3895.6518329999999</v>
      </c>
      <c r="AG209" s="313">
        <v>4297.357833</v>
      </c>
      <c r="AK209" s="313">
        <v>4297.357833</v>
      </c>
      <c r="AO209" s="313">
        <v>-4.9356980000000004</v>
      </c>
      <c r="AP209" s="313">
        <v>-370.06975299999999</v>
      </c>
      <c r="AQ209" s="313">
        <v>-227.67207500000001</v>
      </c>
      <c r="AR209" s="313">
        <v>-263.42755800000003</v>
      </c>
      <c r="AS209" s="313">
        <v>-70.265737000000001</v>
      </c>
      <c r="AT209" s="313">
        <v>-194.36097699999999</v>
      </c>
      <c r="AX209" s="313">
        <v>-278.269047</v>
      </c>
      <c r="BB209" s="313">
        <v>0</v>
      </c>
      <c r="BC209" s="313">
        <v>0</v>
      </c>
      <c r="BD209" s="313">
        <v>0</v>
      </c>
      <c r="BE209" s="313">
        <v>0</v>
      </c>
      <c r="BF209" s="313">
        <v>0</v>
      </c>
      <c r="BH209" s="313">
        <v>-405.77647200000001</v>
      </c>
      <c r="BL209" s="313">
        <v>-405.77647200000001</v>
      </c>
    </row>
    <row r="210" spans="1:66">
      <c r="A210" s="313" t="s">
        <v>608</v>
      </c>
      <c r="B210" s="313">
        <v>0</v>
      </c>
      <c r="C210" s="313">
        <v>0</v>
      </c>
      <c r="D210" s="313">
        <v>0</v>
      </c>
      <c r="E210" s="313">
        <v>0</v>
      </c>
      <c r="F210" s="313">
        <v>0</v>
      </c>
      <c r="G210" s="313">
        <v>0</v>
      </c>
      <c r="J210" s="313">
        <v>0</v>
      </c>
      <c r="N210" s="313">
        <v>0</v>
      </c>
      <c r="O210" s="313">
        <v>0</v>
      </c>
      <c r="P210" s="313">
        <v>0</v>
      </c>
      <c r="Q210" s="313">
        <v>0</v>
      </c>
      <c r="R210" s="313">
        <v>0</v>
      </c>
      <c r="S210" s="313">
        <v>4410.64804</v>
      </c>
      <c r="W210" s="313">
        <v>3379.4367099999999</v>
      </c>
      <c r="AA210" s="313">
        <v>0</v>
      </c>
      <c r="AB210" s="313">
        <v>0</v>
      </c>
      <c r="AC210" s="313">
        <v>0</v>
      </c>
      <c r="AD210" s="313">
        <v>0</v>
      </c>
      <c r="AE210" s="313">
        <v>0</v>
      </c>
      <c r="AG210" s="313">
        <v>0</v>
      </c>
      <c r="AK210" s="313">
        <v>0</v>
      </c>
      <c r="AO210" s="313">
        <v>0</v>
      </c>
      <c r="AP210" s="313">
        <v>0</v>
      </c>
      <c r="AQ210" s="313">
        <v>0</v>
      </c>
      <c r="AR210" s="313">
        <v>0</v>
      </c>
      <c r="AS210" s="313">
        <v>0</v>
      </c>
      <c r="AT210" s="313">
        <v>0</v>
      </c>
      <c r="AX210" s="313">
        <v>0</v>
      </c>
      <c r="BB210" s="313">
        <v>0</v>
      </c>
      <c r="BC210" s="313">
        <v>0</v>
      </c>
      <c r="BD210" s="313">
        <v>0</v>
      </c>
      <c r="BE210" s="313">
        <v>0</v>
      </c>
      <c r="BF210" s="313">
        <v>0</v>
      </c>
      <c r="BH210" s="313">
        <v>0</v>
      </c>
      <c r="BL210" s="313">
        <v>0</v>
      </c>
    </row>
    <row r="211" spans="1:66">
      <c r="A211" s="313" t="s">
        <v>587</v>
      </c>
      <c r="B211" s="313">
        <v>0</v>
      </c>
      <c r="C211" s="313">
        <v>0</v>
      </c>
      <c r="D211" s="313">
        <v>0</v>
      </c>
      <c r="E211" s="313">
        <v>0</v>
      </c>
      <c r="F211" s="313">
        <v>0</v>
      </c>
      <c r="G211" s="313">
        <v>0</v>
      </c>
      <c r="J211" s="313">
        <v>0</v>
      </c>
      <c r="N211" s="313">
        <v>0</v>
      </c>
      <c r="O211" s="313">
        <v>0</v>
      </c>
      <c r="P211" s="313">
        <v>0</v>
      </c>
      <c r="Q211" s="313">
        <v>0</v>
      </c>
      <c r="R211" s="313">
        <v>0</v>
      </c>
      <c r="S211" s="313">
        <v>0</v>
      </c>
      <c r="W211" s="313">
        <v>0</v>
      </c>
      <c r="AA211" s="313">
        <v>0</v>
      </c>
      <c r="AB211" s="313">
        <v>0</v>
      </c>
      <c r="AC211" s="313">
        <v>0</v>
      </c>
      <c r="AD211" s="313">
        <v>0</v>
      </c>
      <c r="AE211" s="313">
        <v>0</v>
      </c>
      <c r="AG211" s="313">
        <v>0</v>
      </c>
      <c r="AK211" s="313">
        <v>0</v>
      </c>
      <c r="AO211" s="313">
        <v>0</v>
      </c>
      <c r="AP211" s="313">
        <v>0</v>
      </c>
      <c r="AQ211" s="313">
        <v>0</v>
      </c>
      <c r="AR211" s="313">
        <v>0</v>
      </c>
      <c r="AS211" s="313">
        <v>0</v>
      </c>
      <c r="AT211" s="313">
        <v>0</v>
      </c>
      <c r="AX211" s="313">
        <v>0</v>
      </c>
      <c r="BB211" s="313">
        <v>0</v>
      </c>
      <c r="BC211" s="313">
        <v>0</v>
      </c>
      <c r="BD211" s="313">
        <v>0</v>
      </c>
      <c r="BE211" s="313">
        <v>0</v>
      </c>
      <c r="BF211" s="313">
        <v>0</v>
      </c>
      <c r="BH211" s="313">
        <v>0</v>
      </c>
      <c r="BL211" s="313">
        <v>0</v>
      </c>
    </row>
    <row r="212" spans="1:66">
      <c r="A212" s="313" t="s">
        <v>588</v>
      </c>
      <c r="B212" s="313">
        <v>0</v>
      </c>
      <c r="C212" s="313">
        <v>0</v>
      </c>
      <c r="D212" s="313">
        <v>0</v>
      </c>
      <c r="E212" s="313">
        <v>0</v>
      </c>
      <c r="F212" s="313">
        <v>0</v>
      </c>
      <c r="G212" s="313">
        <v>0</v>
      </c>
      <c r="J212" s="313">
        <v>0</v>
      </c>
      <c r="N212" s="313">
        <v>0</v>
      </c>
      <c r="O212" s="313">
        <v>0</v>
      </c>
      <c r="P212" s="313">
        <v>0</v>
      </c>
      <c r="Q212" s="313">
        <v>0</v>
      </c>
      <c r="R212" s="313">
        <v>0</v>
      </c>
      <c r="S212" s="313">
        <v>0</v>
      </c>
      <c r="W212" s="313">
        <v>0</v>
      </c>
      <c r="AA212" s="313">
        <v>0</v>
      </c>
      <c r="AB212" s="313">
        <v>0</v>
      </c>
      <c r="AC212" s="313">
        <v>0</v>
      </c>
      <c r="AD212" s="313">
        <v>0</v>
      </c>
      <c r="AE212" s="313">
        <v>0</v>
      </c>
      <c r="AG212" s="313">
        <v>0</v>
      </c>
      <c r="AK212" s="313">
        <v>0</v>
      </c>
      <c r="AO212" s="313">
        <v>0</v>
      </c>
      <c r="AP212" s="313">
        <v>0</v>
      </c>
      <c r="AQ212" s="313">
        <v>0</v>
      </c>
      <c r="AR212" s="313">
        <v>0</v>
      </c>
      <c r="AS212" s="313">
        <v>0</v>
      </c>
      <c r="AT212" s="313">
        <v>0</v>
      </c>
      <c r="AX212" s="313">
        <v>0</v>
      </c>
      <c r="BB212" s="313">
        <v>0</v>
      </c>
      <c r="BC212" s="313">
        <v>0</v>
      </c>
      <c r="BD212" s="313">
        <v>0</v>
      </c>
      <c r="BE212" s="313">
        <v>0</v>
      </c>
      <c r="BF212" s="313">
        <v>0</v>
      </c>
      <c r="BH212" s="313">
        <v>0</v>
      </c>
      <c r="BL212" s="313">
        <v>0</v>
      </c>
    </row>
    <row r="213" spans="1:66">
      <c r="A213" s="313" t="s">
        <v>609</v>
      </c>
      <c r="B213" s="313">
        <v>0</v>
      </c>
      <c r="C213" s="313">
        <v>0</v>
      </c>
      <c r="D213" s="313">
        <v>0</v>
      </c>
      <c r="E213" s="313">
        <v>0</v>
      </c>
      <c r="F213" s="313">
        <v>0</v>
      </c>
      <c r="G213" s="313">
        <v>0</v>
      </c>
      <c r="J213" s="313">
        <v>0</v>
      </c>
      <c r="N213" s="313">
        <v>0</v>
      </c>
      <c r="O213" s="313">
        <v>0</v>
      </c>
      <c r="P213" s="313">
        <v>0</v>
      </c>
      <c r="Q213" s="313">
        <v>0</v>
      </c>
      <c r="R213" s="313">
        <v>0</v>
      </c>
      <c r="S213" s="313">
        <v>0</v>
      </c>
      <c r="W213" s="313">
        <v>0</v>
      </c>
      <c r="AA213" s="313">
        <v>0</v>
      </c>
      <c r="AB213" s="313">
        <v>0</v>
      </c>
      <c r="AC213" s="313">
        <v>0</v>
      </c>
      <c r="AD213" s="313">
        <v>0</v>
      </c>
      <c r="AE213" s="313">
        <v>0</v>
      </c>
      <c r="AG213" s="313">
        <v>0</v>
      </c>
      <c r="AK213" s="313">
        <v>0</v>
      </c>
      <c r="AO213" s="313">
        <v>0</v>
      </c>
      <c r="AP213" s="313">
        <v>0</v>
      </c>
      <c r="AQ213" s="313">
        <v>0</v>
      </c>
      <c r="AR213" s="313">
        <v>0</v>
      </c>
      <c r="AS213" s="313">
        <v>0</v>
      </c>
      <c r="AT213" s="313">
        <v>0</v>
      </c>
      <c r="AX213" s="313">
        <v>0</v>
      </c>
      <c r="BB213" s="313">
        <v>0</v>
      </c>
      <c r="BC213" s="313">
        <v>0</v>
      </c>
      <c r="BD213" s="313">
        <v>0</v>
      </c>
      <c r="BE213" s="313">
        <v>0</v>
      </c>
      <c r="BF213" s="313">
        <v>0</v>
      </c>
      <c r="BH213" s="313">
        <v>0</v>
      </c>
      <c r="BL213" s="313">
        <v>0</v>
      </c>
    </row>
    <row r="214" spans="1:66">
      <c r="A214" s="313" t="s">
        <v>610</v>
      </c>
      <c r="B214" s="313">
        <v>1021.252495</v>
      </c>
      <c r="C214" s="313">
        <v>1334.157935</v>
      </c>
      <c r="D214" s="313">
        <v>1559.9110380000002</v>
      </c>
      <c r="E214" s="313">
        <v>1849.7595219999998</v>
      </c>
      <c r="F214" s="313">
        <v>2165.9850940000001</v>
      </c>
      <c r="G214" s="313">
        <v>2311.2696799999999</v>
      </c>
      <c r="J214" s="313">
        <v>2311.2696799999999</v>
      </c>
      <c r="N214" s="313">
        <v>2225.894123</v>
      </c>
      <c r="O214" s="313">
        <v>2877.5046179999999</v>
      </c>
      <c r="P214" s="313">
        <v>3612.0755770000005</v>
      </c>
      <c r="Q214" s="313">
        <v>4476.853188</v>
      </c>
      <c r="R214" s="313">
        <v>5478.0567659999997</v>
      </c>
      <c r="S214" s="313">
        <v>5960.8552380000001</v>
      </c>
      <c r="W214" s="313">
        <v>5960.8552380000001</v>
      </c>
      <c r="AA214" s="313">
        <v>5741.145896</v>
      </c>
      <c r="AB214" s="313">
        <v>6210.8823270000003</v>
      </c>
      <c r="AC214" s="313">
        <v>6964.1144989999993</v>
      </c>
      <c r="AD214" s="313">
        <v>7900.5526290000007</v>
      </c>
      <c r="AE214" s="313">
        <v>8024.7107159999996</v>
      </c>
      <c r="AG214" s="313">
        <v>8448.0121010000003</v>
      </c>
      <c r="AK214" s="313">
        <v>8448.0121010000003</v>
      </c>
      <c r="AO214" s="313">
        <v>5259.1113930000001</v>
      </c>
      <c r="AP214" s="313">
        <v>7104.0368319999989</v>
      </c>
      <c r="AQ214" s="313">
        <v>9531.161376</v>
      </c>
      <c r="AR214" s="313">
        <v>12763.336283000001</v>
      </c>
      <c r="AS214" s="313">
        <v>16460.371744</v>
      </c>
      <c r="AT214" s="313">
        <v>17997.092019</v>
      </c>
      <c r="AX214" s="313">
        <v>18180.999969</v>
      </c>
      <c r="BB214" s="313">
        <v>1473.4223380000001</v>
      </c>
      <c r="BC214" s="313">
        <v>2632.5950600000001</v>
      </c>
      <c r="BD214" s="313">
        <v>2632.5950600000001</v>
      </c>
      <c r="BE214" s="313">
        <v>2632.5950600000001</v>
      </c>
      <c r="BF214" s="313">
        <v>2970.7740910000002</v>
      </c>
      <c r="BH214" s="313">
        <v>4329.3873400000002</v>
      </c>
      <c r="BL214" s="313">
        <v>4327.6397150000003</v>
      </c>
    </row>
    <row r="215" spans="1:66">
      <c r="A215" s="313" t="s">
        <v>611</v>
      </c>
      <c r="B215" s="313">
        <v>0</v>
      </c>
      <c r="C215" s="313">
        <v>0</v>
      </c>
      <c r="D215" s="313">
        <v>0</v>
      </c>
      <c r="E215" s="313">
        <v>0</v>
      </c>
      <c r="F215" s="313">
        <v>0</v>
      </c>
      <c r="G215" s="313">
        <v>0</v>
      </c>
      <c r="J215" s="313">
        <v>0</v>
      </c>
      <c r="N215" s="313">
        <v>0</v>
      </c>
      <c r="O215" s="313">
        <v>0</v>
      </c>
      <c r="P215" s="313">
        <v>0</v>
      </c>
      <c r="Q215" s="313">
        <v>0</v>
      </c>
      <c r="R215" s="313">
        <v>0</v>
      </c>
      <c r="S215" s="313">
        <v>0</v>
      </c>
      <c r="W215" s="313">
        <v>0</v>
      </c>
      <c r="AA215" s="313">
        <v>0</v>
      </c>
      <c r="AB215" s="313">
        <v>0</v>
      </c>
      <c r="AC215" s="313">
        <v>0</v>
      </c>
      <c r="AD215" s="313">
        <v>0</v>
      </c>
      <c r="AE215" s="313">
        <v>0</v>
      </c>
      <c r="AG215" s="313">
        <v>0</v>
      </c>
      <c r="AK215" s="313">
        <v>0</v>
      </c>
      <c r="AO215" s="313">
        <v>0</v>
      </c>
      <c r="AP215" s="313">
        <v>0</v>
      </c>
      <c r="AQ215" s="313">
        <v>0</v>
      </c>
      <c r="AR215" s="313">
        <v>0</v>
      </c>
      <c r="AS215" s="313">
        <v>0</v>
      </c>
      <c r="AT215" s="313">
        <v>0</v>
      </c>
      <c r="AX215" s="313">
        <v>0</v>
      </c>
      <c r="BB215" s="313">
        <v>0</v>
      </c>
      <c r="BC215" s="313">
        <v>0</v>
      </c>
      <c r="BD215" s="313">
        <v>0</v>
      </c>
      <c r="BE215" s="313">
        <v>0</v>
      </c>
      <c r="BF215" s="313">
        <v>0</v>
      </c>
      <c r="BH215" s="313">
        <v>0</v>
      </c>
      <c r="BL215" s="313">
        <v>0</v>
      </c>
    </row>
    <row r="216" spans="1:66">
      <c r="A216" s="313" t="s">
        <v>612</v>
      </c>
      <c r="B216" s="313">
        <v>12217.874440000001</v>
      </c>
      <c r="C216" s="313">
        <v>17597.712716999999</v>
      </c>
      <c r="D216" s="313">
        <v>18056.498944999999</v>
      </c>
      <c r="E216" s="313">
        <v>22146.724659</v>
      </c>
      <c r="F216" s="313">
        <v>33117.029257000002</v>
      </c>
      <c r="G216" s="313">
        <v>17453.737700000001</v>
      </c>
      <c r="J216" s="313">
        <v>20026.576179</v>
      </c>
      <c r="N216" s="313">
        <v>15568.954931999999</v>
      </c>
      <c r="O216" s="313">
        <v>19451.838377</v>
      </c>
      <c r="P216" s="313">
        <v>23239.887622999999</v>
      </c>
      <c r="Q216" s="313">
        <v>28452.588195999997</v>
      </c>
      <c r="R216" s="313">
        <v>33824.653801</v>
      </c>
      <c r="S216" s="313">
        <v>36000.277591999999</v>
      </c>
      <c r="W216" s="313">
        <v>32078.696249000001</v>
      </c>
      <c r="AA216" s="313">
        <v>39814.142099999997</v>
      </c>
      <c r="AB216" s="313">
        <v>50187.694904000004</v>
      </c>
      <c r="AC216" s="313">
        <v>63774.913372000003</v>
      </c>
      <c r="AD216" s="313">
        <v>82793.810309000008</v>
      </c>
      <c r="AE216" s="313">
        <v>91946.890534999999</v>
      </c>
      <c r="AG216" s="313">
        <v>103458.374834</v>
      </c>
      <c r="AK216" s="313">
        <v>109327.431991</v>
      </c>
      <c r="AO216" s="313">
        <v>54340.966928999995</v>
      </c>
      <c r="AP216" s="313">
        <v>85290.448529999994</v>
      </c>
      <c r="AQ216" s="313">
        <v>122662.074507</v>
      </c>
      <c r="AR216" s="313">
        <v>171255.811074</v>
      </c>
      <c r="AS216" s="313">
        <v>216863.376387</v>
      </c>
      <c r="AT216" s="313">
        <v>240463.18189599999</v>
      </c>
      <c r="AX216" s="313">
        <v>258384.220504</v>
      </c>
      <c r="BB216" s="313">
        <v>21232.987991999998</v>
      </c>
      <c r="BC216" s="313">
        <v>29769.925995999998</v>
      </c>
      <c r="BD216" s="313">
        <v>-3729.0619880000004</v>
      </c>
      <c r="BE216" s="313">
        <v>8487.7947230000009</v>
      </c>
      <c r="BF216" s="313">
        <v>22278.801927</v>
      </c>
      <c r="BH216" s="313">
        <v>41503.669812</v>
      </c>
      <c r="BL216" s="313">
        <v>41866.014923000002</v>
      </c>
    </row>
    <row r="217" spans="1:66">
      <c r="A217" s="313" t="s">
        <v>613</v>
      </c>
      <c r="B217" s="313">
        <v>0</v>
      </c>
      <c r="C217" s="313">
        <v>0</v>
      </c>
      <c r="D217" s="313">
        <v>0</v>
      </c>
      <c r="E217" s="313">
        <v>0</v>
      </c>
      <c r="F217" s="313">
        <v>0</v>
      </c>
      <c r="G217" s="313">
        <v>0</v>
      </c>
      <c r="J217" s="313">
        <v>0</v>
      </c>
      <c r="N217" s="313">
        <v>0</v>
      </c>
      <c r="O217" s="313">
        <v>0</v>
      </c>
      <c r="P217" s="313">
        <v>0</v>
      </c>
      <c r="Q217" s="313">
        <v>0</v>
      </c>
      <c r="R217" s="313">
        <v>0</v>
      </c>
      <c r="S217" s="313">
        <v>0</v>
      </c>
      <c r="W217" s="313">
        <v>0</v>
      </c>
      <c r="AA217" s="313">
        <v>0</v>
      </c>
      <c r="AB217" s="313">
        <v>0</v>
      </c>
      <c r="AC217" s="313">
        <v>0</v>
      </c>
      <c r="AD217" s="313">
        <v>0</v>
      </c>
      <c r="AE217" s="313">
        <v>0</v>
      </c>
      <c r="AG217" s="313">
        <v>0</v>
      </c>
      <c r="AK217" s="313">
        <v>0</v>
      </c>
      <c r="AO217" s="313">
        <v>0</v>
      </c>
      <c r="AP217" s="313">
        <v>0</v>
      </c>
      <c r="AQ217" s="313">
        <v>0</v>
      </c>
      <c r="AR217" s="313">
        <v>0</v>
      </c>
      <c r="AS217" s="313">
        <v>0</v>
      </c>
      <c r="AT217" s="313">
        <v>0</v>
      </c>
      <c r="AX217" s="313">
        <v>0</v>
      </c>
      <c r="BB217" s="313">
        <v>0</v>
      </c>
      <c r="BC217" s="313">
        <v>0</v>
      </c>
      <c r="BD217" s="313">
        <v>0</v>
      </c>
      <c r="BE217" s="313">
        <v>0</v>
      </c>
      <c r="BF217" s="313">
        <v>0</v>
      </c>
      <c r="BH217" s="313">
        <v>0</v>
      </c>
      <c r="BL217" s="313">
        <v>0</v>
      </c>
    </row>
    <row r="218" spans="1:66">
      <c r="A218" s="333" t="s">
        <v>871</v>
      </c>
      <c r="B218" s="333">
        <v>26506.885636999999</v>
      </c>
      <c r="C218" s="333">
        <v>52739.804419</v>
      </c>
      <c r="D218" s="333">
        <v>56324.405576999998</v>
      </c>
      <c r="E218" s="333">
        <v>129414.60175</v>
      </c>
      <c r="F218" s="333">
        <v>157268.52791500001</v>
      </c>
      <c r="G218" s="333">
        <v>132345.85591899999</v>
      </c>
      <c r="H218" s="333"/>
      <c r="I218" s="333"/>
      <c r="J218" s="333">
        <v>135064.96219600001</v>
      </c>
      <c r="K218" s="333"/>
      <c r="L218" s="333"/>
      <c r="M218" s="333"/>
      <c r="N218" s="333">
        <v>32153.746385000002</v>
      </c>
      <c r="O218" s="333">
        <v>37121.768919000002</v>
      </c>
      <c r="P218" s="333">
        <v>65164.480052999999</v>
      </c>
      <c r="Q218" s="333">
        <v>71474.361084000004</v>
      </c>
      <c r="R218" s="333">
        <v>77804.562600999998</v>
      </c>
      <c r="S218" s="333">
        <v>84898.061119999998</v>
      </c>
      <c r="T218" s="333"/>
      <c r="U218" s="333"/>
      <c r="V218" s="333"/>
      <c r="W218" s="333">
        <v>86655.159801999995</v>
      </c>
      <c r="X218" s="333"/>
      <c r="Y218" s="333"/>
      <c r="Z218" s="333"/>
      <c r="AA218" s="333">
        <v>130926.88231700001</v>
      </c>
      <c r="AB218" s="333">
        <v>197687.80173900002</v>
      </c>
      <c r="AC218" s="333">
        <v>282913.14925199997</v>
      </c>
      <c r="AD218" s="333">
        <v>302370.05944400001</v>
      </c>
      <c r="AE218" s="333">
        <v>314995.895624</v>
      </c>
      <c r="AF218" s="333"/>
      <c r="AG218" s="333">
        <v>327332.387308</v>
      </c>
      <c r="AH218" s="333"/>
      <c r="AI218" s="333"/>
      <c r="AJ218" s="333"/>
      <c r="AK218" s="333">
        <v>333180.76165599999</v>
      </c>
      <c r="AL218" s="333"/>
      <c r="AM218" s="333"/>
      <c r="AN218" s="333"/>
      <c r="AO218" s="333">
        <v>185191.56550299999</v>
      </c>
      <c r="AP218" s="333">
        <v>395108.58715100004</v>
      </c>
      <c r="AQ218" s="333">
        <v>439463.51998500002</v>
      </c>
      <c r="AR218" s="333">
        <v>496232.64703400002</v>
      </c>
      <c r="AS218" s="333">
        <v>553714.37308000005</v>
      </c>
      <c r="AT218" s="333">
        <v>580021.61141400004</v>
      </c>
      <c r="AU218" s="333"/>
      <c r="AV218" s="333"/>
      <c r="AW218" s="333"/>
      <c r="AX218" s="333">
        <v>678240.61228100001</v>
      </c>
      <c r="AY218" s="333"/>
      <c r="AZ218" s="333"/>
      <c r="BA218" s="333"/>
      <c r="BB218" s="333">
        <v>84097.797550000003</v>
      </c>
      <c r="BC218" s="333">
        <v>177438.20112400001</v>
      </c>
      <c r="BD218" s="333">
        <v>144744.184354</v>
      </c>
      <c r="BE218" s="333">
        <v>142231.727747</v>
      </c>
      <c r="BF218" s="333">
        <v>165530.20994900001</v>
      </c>
      <c r="BG218" s="333"/>
      <c r="BH218" s="333">
        <v>204215.595008</v>
      </c>
      <c r="BI218" s="333"/>
      <c r="BJ218" s="333"/>
      <c r="BK218" s="333"/>
      <c r="BL218" s="333">
        <v>206279.19953099999</v>
      </c>
      <c r="BM218" s="333"/>
      <c r="BN218" s="333"/>
    </row>
    <row r="219" spans="1:66">
      <c r="A219" s="313" t="s">
        <v>614</v>
      </c>
      <c r="B219" s="313">
        <v>60.652946999999998</v>
      </c>
      <c r="C219" s="313">
        <v>-55.972774000000001</v>
      </c>
      <c r="D219" s="313">
        <v>334.29151200000001</v>
      </c>
      <c r="E219" s="313">
        <v>1371.8296890000001</v>
      </c>
      <c r="F219" s="313">
        <v>2064.2955539999998</v>
      </c>
      <c r="G219" s="313">
        <v>2340.5643570000002</v>
      </c>
      <c r="J219" s="313">
        <v>2468.0201339999999</v>
      </c>
      <c r="N219" s="313">
        <v>0</v>
      </c>
      <c r="O219" s="313">
        <v>0</v>
      </c>
      <c r="P219" s="313">
        <v>200</v>
      </c>
      <c r="Q219" s="313">
        <v>377.48836399999999</v>
      </c>
      <c r="R219" s="313">
        <v>105.776105</v>
      </c>
      <c r="S219" s="313">
        <v>51.160990000000005</v>
      </c>
      <c r="W219" s="313">
        <v>-114.068394</v>
      </c>
      <c r="AA219" s="313">
        <v>4694.442951</v>
      </c>
      <c r="AB219" s="313">
        <v>5988.1621799999994</v>
      </c>
      <c r="AC219" s="313">
        <v>8420.6940439999998</v>
      </c>
      <c r="AD219" s="313">
        <v>11179.136961</v>
      </c>
      <c r="AE219" s="313">
        <v>14649.547721000001</v>
      </c>
      <c r="AG219" s="313">
        <v>18153.597684</v>
      </c>
      <c r="AK219" s="313">
        <v>19511.609128</v>
      </c>
      <c r="AO219" s="313">
        <v>774.68686700000001</v>
      </c>
      <c r="AP219" s="313">
        <v>8745.0218819999991</v>
      </c>
      <c r="AQ219" s="313">
        <v>9660.6461950000012</v>
      </c>
      <c r="AR219" s="313">
        <v>14040.612900999999</v>
      </c>
      <c r="AS219" s="313">
        <v>14125.466535</v>
      </c>
      <c r="AT219" s="313">
        <v>13588.710906</v>
      </c>
      <c r="AX219" s="313">
        <v>5546.1420119999993</v>
      </c>
      <c r="BB219" s="313">
        <v>0</v>
      </c>
      <c r="BC219" s="313">
        <v>0</v>
      </c>
      <c r="BD219" s="313">
        <v>0</v>
      </c>
      <c r="BE219" s="313">
        <v>0</v>
      </c>
      <c r="BF219" s="313">
        <v>0</v>
      </c>
      <c r="BH219" s="313">
        <v>0</v>
      </c>
      <c r="BL219" s="313">
        <v>0</v>
      </c>
    </row>
    <row r="220" spans="1:66">
      <c r="A220" s="313" t="s">
        <v>615</v>
      </c>
      <c r="B220" s="313">
        <v>0</v>
      </c>
      <c r="C220" s="313">
        <v>0</v>
      </c>
      <c r="D220" s="313">
        <v>0</v>
      </c>
      <c r="E220" s="313">
        <v>0</v>
      </c>
      <c r="F220" s="313">
        <v>0</v>
      </c>
      <c r="G220" s="313">
        <v>0</v>
      </c>
      <c r="J220" s="313">
        <v>0</v>
      </c>
      <c r="N220" s="313">
        <v>0</v>
      </c>
      <c r="O220" s="313">
        <v>0</v>
      </c>
      <c r="P220" s="313">
        <v>0</v>
      </c>
      <c r="Q220" s="313">
        <v>0</v>
      </c>
      <c r="R220" s="313">
        <v>0</v>
      </c>
      <c r="S220" s="313">
        <v>0</v>
      </c>
      <c r="W220" s="313">
        <v>0</v>
      </c>
      <c r="AA220" s="313">
        <v>0</v>
      </c>
      <c r="AB220" s="313">
        <v>0</v>
      </c>
      <c r="AC220" s="313">
        <v>0</v>
      </c>
      <c r="AD220" s="313">
        <v>0</v>
      </c>
      <c r="AE220" s="313">
        <v>0</v>
      </c>
      <c r="AG220" s="313">
        <v>0</v>
      </c>
      <c r="AK220" s="313">
        <v>0</v>
      </c>
      <c r="AO220" s="313">
        <v>0</v>
      </c>
      <c r="AP220" s="313">
        <v>0</v>
      </c>
      <c r="AQ220" s="313">
        <v>0</v>
      </c>
      <c r="AR220" s="313">
        <v>0</v>
      </c>
      <c r="AS220" s="313">
        <v>0</v>
      </c>
      <c r="AT220" s="313">
        <v>0</v>
      </c>
      <c r="AX220" s="313">
        <v>0</v>
      </c>
      <c r="BB220" s="313">
        <v>0</v>
      </c>
      <c r="BC220" s="313">
        <v>0</v>
      </c>
      <c r="BD220" s="313">
        <v>0</v>
      </c>
      <c r="BE220" s="313">
        <v>0</v>
      </c>
      <c r="BF220" s="313">
        <v>0</v>
      </c>
      <c r="BH220" s="313">
        <v>0</v>
      </c>
      <c r="BL220" s="313">
        <v>0</v>
      </c>
    </row>
    <row r="221" spans="1:66">
      <c r="A221" s="313" t="s">
        <v>616</v>
      </c>
      <c r="B221" s="313">
        <v>0</v>
      </c>
      <c r="C221" s="313">
        <v>0</v>
      </c>
      <c r="D221" s="313">
        <v>0</v>
      </c>
      <c r="E221" s="313">
        <v>0</v>
      </c>
      <c r="F221" s="313">
        <v>0</v>
      </c>
      <c r="G221" s="313">
        <v>0</v>
      </c>
      <c r="J221" s="313">
        <v>0</v>
      </c>
      <c r="N221" s="313">
        <v>0</v>
      </c>
      <c r="O221" s="313">
        <v>0</v>
      </c>
      <c r="P221" s="313">
        <v>0</v>
      </c>
      <c r="Q221" s="313">
        <v>0</v>
      </c>
      <c r="R221" s="313">
        <v>0</v>
      </c>
      <c r="S221" s="313">
        <v>0</v>
      </c>
      <c r="W221" s="313">
        <v>0</v>
      </c>
      <c r="AA221" s="313">
        <v>0</v>
      </c>
      <c r="AB221" s="313">
        <v>0</v>
      </c>
      <c r="AC221" s="313">
        <v>0</v>
      </c>
      <c r="AD221" s="313">
        <v>0</v>
      </c>
      <c r="AE221" s="313">
        <v>0</v>
      </c>
      <c r="AG221" s="313">
        <v>0</v>
      </c>
      <c r="AK221" s="313">
        <v>0</v>
      </c>
      <c r="AO221" s="313">
        <v>0</v>
      </c>
      <c r="AP221" s="313">
        <v>0</v>
      </c>
      <c r="AQ221" s="313">
        <v>0</v>
      </c>
      <c r="AR221" s="313">
        <v>0</v>
      </c>
      <c r="AS221" s="313">
        <v>0</v>
      </c>
      <c r="AT221" s="313">
        <v>0</v>
      </c>
      <c r="AX221" s="313">
        <v>0</v>
      </c>
      <c r="BB221" s="313">
        <v>0</v>
      </c>
      <c r="BC221" s="313">
        <v>0</v>
      </c>
      <c r="BD221" s="313">
        <v>0</v>
      </c>
      <c r="BE221" s="313">
        <v>0</v>
      </c>
      <c r="BF221" s="313">
        <v>0</v>
      </c>
      <c r="BH221" s="313">
        <v>0</v>
      </c>
      <c r="BL221" s="313">
        <v>0</v>
      </c>
    </row>
    <row r="222" spans="1:66">
      <c r="A222" s="333" t="s">
        <v>617</v>
      </c>
      <c r="B222" s="333">
        <v>26567.538584000002</v>
      </c>
      <c r="C222" s="333">
        <v>52683.831644999998</v>
      </c>
      <c r="D222" s="333">
        <v>56658.697089000001</v>
      </c>
      <c r="E222" s="333">
        <v>130786.43143900001</v>
      </c>
      <c r="F222" s="333">
        <v>159332.823469</v>
      </c>
      <c r="G222" s="333">
        <v>134686.42027599999</v>
      </c>
      <c r="H222" s="333">
        <v>30500.269795049986</v>
      </c>
      <c r="I222" s="333">
        <v>37088.933125000003</v>
      </c>
      <c r="J222" s="333">
        <v>137532.98233</v>
      </c>
      <c r="K222" s="333">
        <v>36271.92278465</v>
      </c>
      <c r="L222" s="333">
        <v>63763.581153000006</v>
      </c>
      <c r="M222" s="333"/>
      <c r="N222" s="333">
        <v>32153.746385000002</v>
      </c>
      <c r="O222" s="333">
        <v>37121.768919000002</v>
      </c>
      <c r="P222" s="333">
        <v>65364.480052999999</v>
      </c>
      <c r="Q222" s="333">
        <v>71851.849448000008</v>
      </c>
      <c r="R222" s="333">
        <v>77910.338705999995</v>
      </c>
      <c r="S222" s="333">
        <v>84949.222110000002</v>
      </c>
      <c r="T222" s="333">
        <v>14697.522937</v>
      </c>
      <c r="U222" s="333">
        <v>65627.264116000006</v>
      </c>
      <c r="V222" s="333"/>
      <c r="W222" s="333">
        <v>86541.091408000008</v>
      </c>
      <c r="X222" s="333">
        <v>19553.123334000004</v>
      </c>
      <c r="Y222" s="333">
        <v>73405.765684999991</v>
      </c>
      <c r="Z222" s="333"/>
      <c r="AA222" s="333">
        <v>135621.32526800002</v>
      </c>
      <c r="AB222" s="333">
        <v>203675.963919</v>
      </c>
      <c r="AC222" s="333">
        <v>291333.84329599998</v>
      </c>
      <c r="AD222" s="333">
        <v>313549.196405</v>
      </c>
      <c r="AE222" s="333">
        <v>329645.44334499998</v>
      </c>
      <c r="AF222" s="333"/>
      <c r="AG222" s="333">
        <v>345485.98499199998</v>
      </c>
      <c r="AH222" s="333">
        <v>66673.703492900007</v>
      </c>
      <c r="AI222" s="333">
        <v>213303.75468800002</v>
      </c>
      <c r="AJ222" s="333"/>
      <c r="AK222" s="333">
        <v>352692.37078400003</v>
      </c>
      <c r="AL222" s="333">
        <v>62865.306886099992</v>
      </c>
      <c r="AM222" s="333">
        <v>151873.11172799999</v>
      </c>
      <c r="AN222" s="333"/>
      <c r="AO222" s="333">
        <v>185966.25237</v>
      </c>
      <c r="AP222" s="333">
        <v>403853.60903300002</v>
      </c>
      <c r="AQ222" s="333">
        <v>449124.16618</v>
      </c>
      <c r="AR222" s="333">
        <v>510273.25993500004</v>
      </c>
      <c r="AS222" s="333">
        <v>567839.83961499995</v>
      </c>
      <c r="AT222" s="333">
        <v>593610.32232000004</v>
      </c>
      <c r="AU222" s="333">
        <v>136924.27234250001</v>
      </c>
      <c r="AV222" s="333">
        <v>86583.936142999999</v>
      </c>
      <c r="AW222" s="333"/>
      <c r="AX222" s="333">
        <v>683786.75429299998</v>
      </c>
      <c r="AY222" s="333">
        <v>195324.61869199999</v>
      </c>
      <c r="AZ222" s="333">
        <v>96108.275215999995</v>
      </c>
      <c r="BA222" s="333"/>
      <c r="BB222" s="333">
        <v>84097.797550000003</v>
      </c>
      <c r="BC222" s="333">
        <v>177438.20112400001</v>
      </c>
      <c r="BD222" s="333">
        <v>144744.184354</v>
      </c>
      <c r="BE222" s="333">
        <v>142231.727747</v>
      </c>
      <c r="BF222" s="333">
        <v>165530.20994900001</v>
      </c>
      <c r="BG222" s="333"/>
      <c r="BH222" s="333">
        <v>204215.595008</v>
      </c>
      <c r="BI222" s="333">
        <v>8119.6826821500035</v>
      </c>
      <c r="BJ222" s="333">
        <v>0</v>
      </c>
      <c r="BK222" s="333"/>
      <c r="BL222" s="333">
        <v>206279.19953099999</v>
      </c>
      <c r="BM222" s="333">
        <v>23040.769785649998</v>
      </c>
      <c r="BN222" s="333">
        <v>0</v>
      </c>
    </row>
    <row r="223" spans="1:66">
      <c r="A223" s="313" t="s">
        <v>618</v>
      </c>
      <c r="B223" s="313">
        <v>0</v>
      </c>
      <c r="C223" s="313">
        <v>0</v>
      </c>
      <c r="D223" s="313">
        <v>0</v>
      </c>
      <c r="E223" s="313">
        <v>0</v>
      </c>
      <c r="F223" s="313">
        <v>0</v>
      </c>
      <c r="G223" s="313">
        <v>0</v>
      </c>
      <c r="J223" s="313">
        <v>0</v>
      </c>
      <c r="N223" s="313">
        <v>0</v>
      </c>
      <c r="O223" s="313">
        <v>0</v>
      </c>
      <c r="P223" s="313">
        <v>0</v>
      </c>
      <c r="Q223" s="313">
        <v>0</v>
      </c>
      <c r="R223" s="313">
        <v>0</v>
      </c>
      <c r="S223" s="313">
        <v>0</v>
      </c>
      <c r="W223" s="313">
        <v>0</v>
      </c>
      <c r="AA223" s="313">
        <v>0</v>
      </c>
      <c r="AB223" s="313">
        <v>0</v>
      </c>
      <c r="AC223" s="313">
        <v>0</v>
      </c>
      <c r="AD223" s="313">
        <v>0</v>
      </c>
      <c r="AE223" s="313">
        <v>0</v>
      </c>
      <c r="AG223" s="313">
        <v>0</v>
      </c>
      <c r="AK223" s="313">
        <v>0</v>
      </c>
      <c r="AO223" s="313">
        <v>0</v>
      </c>
      <c r="AP223" s="313">
        <v>0</v>
      </c>
      <c r="AQ223" s="313">
        <v>0</v>
      </c>
      <c r="AR223" s="313">
        <v>0</v>
      </c>
      <c r="AS223" s="313">
        <v>0</v>
      </c>
      <c r="AT223" s="313">
        <v>0</v>
      </c>
      <c r="AX223" s="313">
        <v>0</v>
      </c>
      <c r="BB223" s="313">
        <v>0</v>
      </c>
      <c r="BC223" s="313">
        <v>0</v>
      </c>
      <c r="BD223" s="313">
        <v>0</v>
      </c>
      <c r="BE223" s="313">
        <v>0</v>
      </c>
      <c r="BF223" s="313">
        <v>0</v>
      </c>
      <c r="BH223" s="313">
        <v>0</v>
      </c>
      <c r="BL223" s="313">
        <v>0</v>
      </c>
    </row>
    <row r="224" spans="1:66">
      <c r="A224" s="313" t="s">
        <v>619</v>
      </c>
      <c r="B224" s="313">
        <v>0</v>
      </c>
      <c r="C224" s="313">
        <v>0</v>
      </c>
      <c r="D224" s="313">
        <v>0</v>
      </c>
      <c r="E224" s="313">
        <v>0</v>
      </c>
      <c r="F224" s="313">
        <v>0</v>
      </c>
      <c r="G224" s="313">
        <v>0</v>
      </c>
      <c r="J224" s="313">
        <v>0</v>
      </c>
      <c r="N224" s="313">
        <v>0</v>
      </c>
      <c r="O224" s="313">
        <v>0</v>
      </c>
      <c r="P224" s="313">
        <v>0</v>
      </c>
      <c r="Q224" s="313">
        <v>0</v>
      </c>
      <c r="R224" s="313">
        <v>0</v>
      </c>
      <c r="S224" s="313">
        <v>0</v>
      </c>
      <c r="W224" s="313">
        <v>0</v>
      </c>
      <c r="AA224" s="313">
        <v>0</v>
      </c>
      <c r="AB224" s="313">
        <v>0</v>
      </c>
      <c r="AC224" s="313">
        <v>0</v>
      </c>
      <c r="AD224" s="313">
        <v>0</v>
      </c>
      <c r="AE224" s="313">
        <v>0</v>
      </c>
      <c r="AG224" s="313">
        <v>0</v>
      </c>
      <c r="AK224" s="313">
        <v>0</v>
      </c>
      <c r="AO224" s="313">
        <v>0</v>
      </c>
      <c r="AP224" s="313">
        <v>0</v>
      </c>
      <c r="AQ224" s="313">
        <v>0</v>
      </c>
      <c r="AR224" s="313">
        <v>0</v>
      </c>
      <c r="AS224" s="313">
        <v>0</v>
      </c>
      <c r="AT224" s="313">
        <v>0</v>
      </c>
      <c r="AX224" s="313">
        <v>0</v>
      </c>
      <c r="BB224" s="313">
        <v>0</v>
      </c>
      <c r="BC224" s="313">
        <v>0</v>
      </c>
      <c r="BD224" s="313">
        <v>0</v>
      </c>
      <c r="BE224" s="313">
        <v>0</v>
      </c>
      <c r="BF224" s="313">
        <v>0</v>
      </c>
      <c r="BH224" s="313">
        <v>0</v>
      </c>
      <c r="BL224" s="313">
        <v>0</v>
      </c>
    </row>
    <row r="225" spans="1:66">
      <c r="A225" s="333" t="s">
        <v>620</v>
      </c>
      <c r="B225" s="333">
        <v>46506.753552999995</v>
      </c>
      <c r="C225" s="333">
        <v>103386.145546</v>
      </c>
      <c r="D225" s="333">
        <v>126333.34669100001</v>
      </c>
      <c r="E225" s="333">
        <v>212544.609795</v>
      </c>
      <c r="F225" s="333">
        <v>270928.56525100005</v>
      </c>
      <c r="G225" s="333">
        <v>263310.77522700001</v>
      </c>
      <c r="H225" s="333"/>
      <c r="I225" s="333"/>
      <c r="J225" s="333">
        <v>310805.36868800002</v>
      </c>
      <c r="K225" s="333"/>
      <c r="L225" s="333"/>
      <c r="M225" s="333"/>
      <c r="N225" s="333">
        <v>66778.047452999992</v>
      </c>
      <c r="O225" s="333">
        <v>74128.552161</v>
      </c>
      <c r="P225" s="333">
        <v>96433.117264</v>
      </c>
      <c r="Q225" s="333">
        <v>119599.902224</v>
      </c>
      <c r="R225" s="333">
        <v>161053.78305199998</v>
      </c>
      <c r="S225" s="333">
        <v>173366.741519</v>
      </c>
      <c r="T225" s="333"/>
      <c r="U225" s="333"/>
      <c r="V225" s="333"/>
      <c r="W225" s="333">
        <v>179250.88316300002</v>
      </c>
      <c r="X225" s="333"/>
      <c r="Y225" s="333"/>
      <c r="Z225" s="333"/>
      <c r="AA225" s="333">
        <v>241727.84850500003</v>
      </c>
      <c r="AB225" s="333">
        <v>318273.48946300003</v>
      </c>
      <c r="AC225" s="333">
        <v>409501.42773200001</v>
      </c>
      <c r="AD225" s="333">
        <v>467893.12781499996</v>
      </c>
      <c r="AE225" s="333">
        <v>574043.47525100003</v>
      </c>
      <c r="AF225" s="333"/>
      <c r="AG225" s="333">
        <v>605384.17082400003</v>
      </c>
      <c r="AH225" s="333"/>
      <c r="AI225" s="333"/>
      <c r="AJ225" s="333"/>
      <c r="AK225" s="333">
        <v>569559.05766799999</v>
      </c>
      <c r="AL225" s="333"/>
      <c r="AM225" s="333"/>
      <c r="AN225" s="333"/>
      <c r="AO225" s="333">
        <v>282994.32157899998</v>
      </c>
      <c r="AP225" s="333">
        <v>493962.68897100003</v>
      </c>
      <c r="AQ225" s="333">
        <v>514655.29629300005</v>
      </c>
      <c r="AR225" s="333">
        <v>610626.21299399994</v>
      </c>
      <c r="AS225" s="333">
        <v>670250.70678800007</v>
      </c>
      <c r="AT225" s="333">
        <v>738205.04447600001</v>
      </c>
      <c r="AU225" s="333"/>
      <c r="AV225" s="333"/>
      <c r="AW225" s="333"/>
      <c r="AX225" s="333">
        <v>817599.32560699992</v>
      </c>
      <c r="AY225" s="333"/>
      <c r="AZ225" s="333"/>
      <c r="BA225" s="333"/>
      <c r="BB225" s="333">
        <v>92288.89314700001</v>
      </c>
      <c r="BC225" s="333">
        <v>196423.290912</v>
      </c>
      <c r="BD225" s="333">
        <v>156232.50142300001</v>
      </c>
      <c r="BE225" s="333">
        <v>203222.74183699998</v>
      </c>
      <c r="BF225" s="333">
        <v>215622.309744</v>
      </c>
      <c r="BG225" s="333"/>
      <c r="BH225" s="333">
        <v>243290.63952800003</v>
      </c>
      <c r="BI225" s="333"/>
      <c r="BJ225" s="333"/>
      <c r="BK225" s="333"/>
      <c r="BL225" s="333">
        <v>238772.172231</v>
      </c>
      <c r="BM225" s="333"/>
      <c r="BN225" s="333"/>
    </row>
    <row r="230" spans="1:66">
      <c r="A230" s="332" t="s">
        <v>621</v>
      </c>
      <c r="B230" s="332"/>
      <c r="C230" s="332"/>
      <c r="D230" s="332"/>
      <c r="E230" s="332"/>
      <c r="F230" s="332"/>
      <c r="G230" s="332"/>
      <c r="H230" s="332"/>
      <c r="I230" s="332"/>
      <c r="J230" s="332"/>
      <c r="K230" s="332"/>
      <c r="L230" s="332"/>
      <c r="M230" s="332"/>
      <c r="N230" s="332"/>
      <c r="O230" s="332"/>
      <c r="P230" s="332"/>
      <c r="Q230" s="332"/>
      <c r="R230" s="332"/>
      <c r="S230" s="332"/>
      <c r="T230" s="332"/>
      <c r="U230" s="332"/>
      <c r="V230" s="332"/>
      <c r="W230" s="332"/>
      <c r="X230" s="332"/>
      <c r="Y230" s="332"/>
      <c r="Z230" s="332"/>
      <c r="AA230" s="332"/>
      <c r="AB230" s="332"/>
      <c r="AC230" s="332"/>
      <c r="AD230" s="332"/>
      <c r="AE230" s="332"/>
      <c r="AF230" s="332"/>
      <c r="AG230" s="332"/>
      <c r="AH230" s="332"/>
      <c r="AI230" s="332"/>
      <c r="AJ230" s="332"/>
      <c r="AK230" s="332"/>
      <c r="AL230" s="332"/>
      <c r="AM230" s="332"/>
      <c r="AN230" s="332"/>
      <c r="AO230" s="332"/>
      <c r="AP230" s="332"/>
      <c r="AQ230" s="332"/>
      <c r="AR230" s="332"/>
      <c r="AS230" s="332"/>
      <c r="AT230" s="332"/>
      <c r="AU230" s="332"/>
      <c r="AV230" s="332"/>
      <c r="AW230" s="332"/>
      <c r="AX230" s="332"/>
      <c r="AY230" s="332"/>
      <c r="AZ230" s="332"/>
      <c r="BA230" s="332"/>
      <c r="BB230" s="332"/>
      <c r="BC230" s="332"/>
      <c r="BD230" s="332"/>
      <c r="BE230" s="332"/>
      <c r="BF230" s="332"/>
      <c r="BG230" s="332"/>
      <c r="BH230" s="332"/>
      <c r="BI230" s="332"/>
      <c r="BJ230" s="332"/>
      <c r="BK230" s="332"/>
      <c r="BL230" s="332"/>
      <c r="BM230" s="332"/>
      <c r="BN230" s="332"/>
    </row>
    <row r="231" spans="1:66">
      <c r="A231" s="333" t="s">
        <v>622</v>
      </c>
      <c r="B231" s="333"/>
      <c r="C231" s="333"/>
      <c r="D231" s="333"/>
      <c r="E231" s="333"/>
      <c r="F231" s="333"/>
      <c r="G231" s="333"/>
      <c r="H231" s="333"/>
      <c r="I231" s="333"/>
      <c r="J231" s="333"/>
      <c r="K231" s="333"/>
      <c r="L231" s="333"/>
      <c r="M231" s="333"/>
      <c r="N231" s="333"/>
      <c r="O231" s="333"/>
      <c r="P231" s="333"/>
      <c r="Q231" s="333"/>
      <c r="R231" s="333"/>
      <c r="S231" s="333"/>
      <c r="T231" s="333"/>
      <c r="U231" s="333"/>
      <c r="V231" s="333"/>
      <c r="W231" s="333"/>
      <c r="X231" s="333"/>
      <c r="Y231" s="333"/>
      <c r="Z231" s="333"/>
      <c r="AA231" s="333"/>
      <c r="AB231" s="333"/>
      <c r="AC231" s="333"/>
      <c r="AD231" s="333"/>
      <c r="AE231" s="333"/>
      <c r="AF231" s="333"/>
      <c r="AG231" s="333"/>
      <c r="AH231" s="333"/>
      <c r="AI231" s="333"/>
      <c r="AJ231" s="333"/>
      <c r="AK231" s="333"/>
      <c r="AL231" s="333"/>
      <c r="AM231" s="333"/>
      <c r="AN231" s="333"/>
      <c r="AO231" s="333"/>
      <c r="AP231" s="333"/>
      <c r="AQ231" s="333"/>
      <c r="AR231" s="333"/>
      <c r="AS231" s="333"/>
      <c r="AT231" s="333"/>
      <c r="AU231" s="333"/>
      <c r="AV231" s="333"/>
      <c r="AW231" s="333"/>
      <c r="AX231" s="333"/>
      <c r="AY231" s="333"/>
      <c r="AZ231" s="333"/>
      <c r="BA231" s="333"/>
      <c r="BB231" s="333"/>
      <c r="BC231" s="333"/>
      <c r="BD231" s="333"/>
      <c r="BE231" s="333"/>
      <c r="BF231" s="333"/>
      <c r="BG231" s="333"/>
      <c r="BH231" s="333"/>
      <c r="BI231" s="333"/>
      <c r="BJ231" s="333"/>
      <c r="BK231" s="333"/>
      <c r="BL231" s="333"/>
      <c r="BM231" s="333"/>
      <c r="BN231" s="333"/>
    </row>
    <row r="232" spans="1:66">
      <c r="A232" s="313" t="s">
        <v>623</v>
      </c>
      <c r="B232" s="313">
        <v>38447.210293000004</v>
      </c>
      <c r="C232" s="313">
        <v>52635.167954000004</v>
      </c>
      <c r="D232" s="313">
        <v>55075.117021000005</v>
      </c>
      <c r="E232" s="313">
        <v>95279.73124400001</v>
      </c>
      <c r="F232" s="313">
        <v>157499.23759800001</v>
      </c>
      <c r="G232" s="313">
        <v>150871.55926900002</v>
      </c>
      <c r="J232" s="313">
        <v>93039.82875700001</v>
      </c>
      <c r="N232" s="313">
        <v>60053.142888000002</v>
      </c>
      <c r="O232" s="313">
        <v>70495.169259000002</v>
      </c>
      <c r="P232" s="313">
        <v>66322.777088000003</v>
      </c>
      <c r="Q232" s="313">
        <v>82103.528230999989</v>
      </c>
      <c r="R232" s="313">
        <v>88366.317741999999</v>
      </c>
      <c r="S232" s="313">
        <v>83977.479569000003</v>
      </c>
      <c r="W232" s="313">
        <v>50497.280805000002</v>
      </c>
      <c r="AA232" s="313">
        <v>180325.20010999998</v>
      </c>
      <c r="AB232" s="313">
        <v>251767.96625500001</v>
      </c>
      <c r="AC232" s="313">
        <v>292776.92831500003</v>
      </c>
      <c r="AD232" s="313">
        <v>403931.26213699998</v>
      </c>
      <c r="AE232" s="313">
        <v>489291.98262100003</v>
      </c>
      <c r="AG232" s="313">
        <v>578151.66061999998</v>
      </c>
      <c r="AK232" s="313">
        <v>383382.77732399997</v>
      </c>
      <c r="AO232" s="313">
        <v>79838.349033999999</v>
      </c>
      <c r="AP232" s="313">
        <v>111125.129076</v>
      </c>
      <c r="AQ232" s="313">
        <v>132304.904645</v>
      </c>
      <c r="AR232" s="313">
        <v>165425.496052</v>
      </c>
      <c r="AS232" s="313">
        <v>201354.11275599999</v>
      </c>
      <c r="AT232" s="313">
        <v>226398.681656</v>
      </c>
      <c r="AX232" s="313">
        <v>145574.73985399998</v>
      </c>
      <c r="BB232" s="313">
        <v>23310.517962000002</v>
      </c>
      <c r="BC232" s="313">
        <v>37146.148234</v>
      </c>
      <c r="BD232" s="313">
        <v>32605.510948000003</v>
      </c>
      <c r="BE232" s="313">
        <v>41505.231123000005</v>
      </c>
      <c r="BF232" s="313">
        <v>44296.195323</v>
      </c>
      <c r="BH232" s="313">
        <v>55975.043215999998</v>
      </c>
      <c r="BL232" s="313">
        <v>48372.700420000001</v>
      </c>
    </row>
    <row r="233" spans="1:66">
      <c r="A233" s="313" t="s">
        <v>624</v>
      </c>
      <c r="B233" s="313">
        <v>0</v>
      </c>
      <c r="C233" s="313">
        <v>0</v>
      </c>
      <c r="D233" s="313">
        <v>0</v>
      </c>
      <c r="E233" s="313">
        <v>0</v>
      </c>
      <c r="F233" s="313">
        <v>0</v>
      </c>
      <c r="G233" s="313">
        <v>0</v>
      </c>
      <c r="J233" s="313">
        <v>0</v>
      </c>
      <c r="N233" s="313">
        <v>0</v>
      </c>
      <c r="O233" s="313">
        <v>0</v>
      </c>
      <c r="P233" s="313">
        <v>0</v>
      </c>
      <c r="Q233" s="313">
        <v>0</v>
      </c>
      <c r="R233" s="313">
        <v>0</v>
      </c>
      <c r="S233" s="313">
        <v>0</v>
      </c>
      <c r="W233" s="313">
        <v>0</v>
      </c>
      <c r="AA233" s="313">
        <v>0</v>
      </c>
      <c r="AB233" s="313">
        <v>0</v>
      </c>
      <c r="AC233" s="313">
        <v>0</v>
      </c>
      <c r="AD233" s="313">
        <v>0</v>
      </c>
      <c r="AE233" s="313">
        <v>0</v>
      </c>
      <c r="AG233" s="313">
        <v>0</v>
      </c>
      <c r="AK233" s="313">
        <v>0</v>
      </c>
      <c r="AO233" s="313">
        <v>0</v>
      </c>
      <c r="AP233" s="313">
        <v>0</v>
      </c>
      <c r="AQ233" s="313">
        <v>0</v>
      </c>
      <c r="AR233" s="313">
        <v>0</v>
      </c>
      <c r="AS233" s="313">
        <v>0</v>
      </c>
      <c r="AT233" s="313">
        <v>0</v>
      </c>
      <c r="AX233" s="313">
        <v>0</v>
      </c>
      <c r="BB233" s="313">
        <v>0</v>
      </c>
      <c r="BC233" s="313">
        <v>0</v>
      </c>
      <c r="BD233" s="313">
        <v>0</v>
      </c>
      <c r="BE233" s="313">
        <v>0</v>
      </c>
      <c r="BF233" s="313">
        <v>0</v>
      </c>
      <c r="BH233" s="313">
        <v>0</v>
      </c>
      <c r="BL233" s="313">
        <v>0</v>
      </c>
    </row>
    <row r="234" spans="1:66">
      <c r="A234" s="313" t="s">
        <v>625</v>
      </c>
      <c r="B234" s="313">
        <v>0</v>
      </c>
      <c r="C234" s="313">
        <v>0</v>
      </c>
      <c r="D234" s="313">
        <v>0</v>
      </c>
      <c r="E234" s="313">
        <v>0</v>
      </c>
      <c r="F234" s="313">
        <v>0</v>
      </c>
      <c r="G234" s="313">
        <v>0</v>
      </c>
      <c r="J234" s="313">
        <v>0</v>
      </c>
      <c r="N234" s="313">
        <v>0</v>
      </c>
      <c r="O234" s="313">
        <v>0</v>
      </c>
      <c r="P234" s="313">
        <v>0</v>
      </c>
      <c r="Q234" s="313">
        <v>0</v>
      </c>
      <c r="R234" s="313">
        <v>0</v>
      </c>
      <c r="S234" s="313">
        <v>0</v>
      </c>
      <c r="W234" s="313">
        <v>0</v>
      </c>
      <c r="AA234" s="313">
        <v>0</v>
      </c>
      <c r="AB234" s="313">
        <v>0</v>
      </c>
      <c r="AC234" s="313">
        <v>0</v>
      </c>
      <c r="AD234" s="313">
        <v>0</v>
      </c>
      <c r="AE234" s="313">
        <v>0</v>
      </c>
      <c r="AG234" s="313">
        <v>0</v>
      </c>
      <c r="AK234" s="313">
        <v>0</v>
      </c>
      <c r="AO234" s="313">
        <v>0</v>
      </c>
      <c r="AP234" s="313">
        <v>0</v>
      </c>
      <c r="AQ234" s="313">
        <v>0</v>
      </c>
      <c r="AR234" s="313">
        <v>0</v>
      </c>
      <c r="AS234" s="313">
        <v>0</v>
      </c>
      <c r="AT234" s="313">
        <v>0</v>
      </c>
      <c r="AX234" s="313">
        <v>0</v>
      </c>
      <c r="BB234" s="313">
        <v>0</v>
      </c>
      <c r="BC234" s="313">
        <v>0</v>
      </c>
      <c r="BD234" s="313">
        <v>0</v>
      </c>
      <c r="BE234" s="313">
        <v>0</v>
      </c>
      <c r="BF234" s="313">
        <v>0</v>
      </c>
      <c r="BH234" s="313">
        <v>0</v>
      </c>
      <c r="BL234" s="313">
        <v>0</v>
      </c>
    </row>
    <row r="235" spans="1:66">
      <c r="A235" s="313" t="s">
        <v>626</v>
      </c>
      <c r="B235" s="313">
        <v>0</v>
      </c>
      <c r="C235" s="313">
        <v>0</v>
      </c>
      <c r="D235" s="313">
        <v>0</v>
      </c>
      <c r="E235" s="313">
        <v>0</v>
      </c>
      <c r="F235" s="313">
        <v>0</v>
      </c>
      <c r="G235" s="313">
        <v>0</v>
      </c>
      <c r="J235" s="313">
        <v>0</v>
      </c>
      <c r="N235" s="313">
        <v>0</v>
      </c>
      <c r="O235" s="313">
        <v>0</v>
      </c>
      <c r="P235" s="313">
        <v>0</v>
      </c>
      <c r="Q235" s="313">
        <v>0</v>
      </c>
      <c r="R235" s="313">
        <v>0</v>
      </c>
      <c r="S235" s="313">
        <v>0</v>
      </c>
      <c r="W235" s="313">
        <v>0</v>
      </c>
      <c r="AA235" s="313">
        <v>0</v>
      </c>
      <c r="AB235" s="313">
        <v>0</v>
      </c>
      <c r="AC235" s="313">
        <v>0</v>
      </c>
      <c r="AD235" s="313">
        <v>0</v>
      </c>
      <c r="AE235" s="313">
        <v>0</v>
      </c>
      <c r="AG235" s="313">
        <v>0</v>
      </c>
      <c r="AK235" s="313">
        <v>0</v>
      </c>
      <c r="AO235" s="313">
        <v>0</v>
      </c>
      <c r="AP235" s="313">
        <v>0</v>
      </c>
      <c r="AQ235" s="313">
        <v>0</v>
      </c>
      <c r="AR235" s="313">
        <v>0</v>
      </c>
      <c r="AS235" s="313">
        <v>0</v>
      </c>
      <c r="AT235" s="313">
        <v>0</v>
      </c>
      <c r="AX235" s="313">
        <v>0</v>
      </c>
      <c r="BB235" s="313">
        <v>0</v>
      </c>
      <c r="BC235" s="313">
        <v>0</v>
      </c>
      <c r="BD235" s="313">
        <v>0</v>
      </c>
      <c r="BE235" s="313">
        <v>0</v>
      </c>
      <c r="BF235" s="313">
        <v>0</v>
      </c>
      <c r="BH235" s="313">
        <v>0</v>
      </c>
      <c r="BL235" s="313">
        <v>0</v>
      </c>
    </row>
    <row r="236" spans="1:66">
      <c r="A236" s="313" t="s">
        <v>627</v>
      </c>
      <c r="B236" s="313">
        <v>0</v>
      </c>
      <c r="C236" s="313">
        <v>0</v>
      </c>
      <c r="D236" s="313">
        <v>0</v>
      </c>
      <c r="E236" s="313">
        <v>0</v>
      </c>
      <c r="F236" s="313">
        <v>0</v>
      </c>
      <c r="G236" s="313">
        <v>0</v>
      </c>
      <c r="J236" s="313">
        <v>0</v>
      </c>
      <c r="N236" s="313">
        <v>0</v>
      </c>
      <c r="O236" s="313">
        <v>0</v>
      </c>
      <c r="P236" s="313">
        <v>0</v>
      </c>
      <c r="Q236" s="313">
        <v>0</v>
      </c>
      <c r="R236" s="313">
        <v>0</v>
      </c>
      <c r="S236" s="313">
        <v>0</v>
      </c>
      <c r="W236" s="313">
        <v>0</v>
      </c>
      <c r="AA236" s="313">
        <v>0</v>
      </c>
      <c r="AB236" s="313">
        <v>0</v>
      </c>
      <c r="AC236" s="313">
        <v>0</v>
      </c>
      <c r="AD236" s="313">
        <v>0</v>
      </c>
      <c r="AE236" s="313">
        <v>0</v>
      </c>
      <c r="AG236" s="313">
        <v>0</v>
      </c>
      <c r="AK236" s="313">
        <v>0</v>
      </c>
      <c r="AO236" s="313">
        <v>0</v>
      </c>
      <c r="AP236" s="313">
        <v>0</v>
      </c>
      <c r="AQ236" s="313">
        <v>0</v>
      </c>
      <c r="AR236" s="313">
        <v>0</v>
      </c>
      <c r="AS236" s="313">
        <v>0</v>
      </c>
      <c r="AT236" s="313">
        <v>0</v>
      </c>
      <c r="AX236" s="313">
        <v>0</v>
      </c>
      <c r="BB236" s="313">
        <v>0</v>
      </c>
      <c r="BC236" s="313">
        <v>0</v>
      </c>
      <c r="BD236" s="313">
        <v>0</v>
      </c>
      <c r="BE236" s="313">
        <v>0</v>
      </c>
      <c r="BF236" s="313">
        <v>0</v>
      </c>
      <c r="BH236" s="313">
        <v>0</v>
      </c>
      <c r="BL236" s="313">
        <v>0</v>
      </c>
    </row>
    <row r="237" spans="1:66">
      <c r="A237" s="313" t="s">
        <v>628</v>
      </c>
      <c r="B237" s="313">
        <v>0</v>
      </c>
      <c r="C237" s="313">
        <v>0</v>
      </c>
      <c r="D237" s="313">
        <v>0</v>
      </c>
      <c r="E237" s="313">
        <v>0</v>
      </c>
      <c r="F237" s="313">
        <v>0</v>
      </c>
      <c r="G237" s="313">
        <v>0</v>
      </c>
      <c r="J237" s="313">
        <v>0</v>
      </c>
      <c r="N237" s="313">
        <v>0</v>
      </c>
      <c r="O237" s="313">
        <v>0</v>
      </c>
      <c r="P237" s="313">
        <v>0</v>
      </c>
      <c r="Q237" s="313">
        <v>0</v>
      </c>
      <c r="R237" s="313">
        <v>0</v>
      </c>
      <c r="S237" s="313">
        <v>0</v>
      </c>
      <c r="W237" s="313">
        <v>0</v>
      </c>
      <c r="AA237" s="313">
        <v>0</v>
      </c>
      <c r="AB237" s="313">
        <v>0</v>
      </c>
      <c r="AC237" s="313">
        <v>0</v>
      </c>
      <c r="AD237" s="313">
        <v>0</v>
      </c>
      <c r="AE237" s="313">
        <v>0</v>
      </c>
      <c r="AG237" s="313">
        <v>0</v>
      </c>
      <c r="AK237" s="313">
        <v>0</v>
      </c>
      <c r="AO237" s="313">
        <v>0</v>
      </c>
      <c r="AP237" s="313">
        <v>0</v>
      </c>
      <c r="AQ237" s="313">
        <v>0</v>
      </c>
      <c r="AR237" s="313">
        <v>0</v>
      </c>
      <c r="AS237" s="313">
        <v>0</v>
      </c>
      <c r="AT237" s="313">
        <v>0</v>
      </c>
      <c r="AX237" s="313">
        <v>0</v>
      </c>
      <c r="BB237" s="313">
        <v>0</v>
      </c>
      <c r="BC237" s="313">
        <v>0</v>
      </c>
      <c r="BD237" s="313">
        <v>0</v>
      </c>
      <c r="BE237" s="313">
        <v>0</v>
      </c>
      <c r="BF237" s="313">
        <v>0</v>
      </c>
      <c r="BH237" s="313">
        <v>0</v>
      </c>
      <c r="BL237" s="313">
        <v>0</v>
      </c>
    </row>
    <row r="238" spans="1:66">
      <c r="A238" s="313" t="s">
        <v>629</v>
      </c>
      <c r="B238" s="313">
        <v>0</v>
      </c>
      <c r="C238" s="313">
        <v>0</v>
      </c>
      <c r="D238" s="313">
        <v>0</v>
      </c>
      <c r="E238" s="313">
        <v>0</v>
      </c>
      <c r="F238" s="313">
        <v>0</v>
      </c>
      <c r="G238" s="313">
        <v>0</v>
      </c>
      <c r="J238" s="313">
        <v>0</v>
      </c>
      <c r="N238" s="313">
        <v>0</v>
      </c>
      <c r="O238" s="313">
        <v>0</v>
      </c>
      <c r="P238" s="313">
        <v>0</v>
      </c>
      <c r="Q238" s="313">
        <v>0</v>
      </c>
      <c r="R238" s="313">
        <v>0</v>
      </c>
      <c r="S238" s="313">
        <v>0</v>
      </c>
      <c r="W238" s="313">
        <v>0</v>
      </c>
      <c r="AA238" s="313">
        <v>0</v>
      </c>
      <c r="AB238" s="313">
        <v>0</v>
      </c>
      <c r="AC238" s="313">
        <v>0</v>
      </c>
      <c r="AD238" s="313">
        <v>0</v>
      </c>
      <c r="AE238" s="313">
        <v>0</v>
      </c>
      <c r="AG238" s="313">
        <v>0</v>
      </c>
      <c r="AK238" s="313">
        <v>0</v>
      </c>
      <c r="AO238" s="313">
        <v>0</v>
      </c>
      <c r="AP238" s="313">
        <v>0</v>
      </c>
      <c r="AQ238" s="313">
        <v>0</v>
      </c>
      <c r="AR238" s="313">
        <v>0</v>
      </c>
      <c r="AS238" s="313">
        <v>0</v>
      </c>
      <c r="AT238" s="313">
        <v>0</v>
      </c>
      <c r="AX238" s="313">
        <v>0</v>
      </c>
      <c r="BB238" s="313">
        <v>0</v>
      </c>
      <c r="BC238" s="313">
        <v>0</v>
      </c>
      <c r="BD238" s="313">
        <v>0</v>
      </c>
      <c r="BE238" s="313">
        <v>0</v>
      </c>
      <c r="BF238" s="313">
        <v>0</v>
      </c>
      <c r="BH238" s="313">
        <v>0</v>
      </c>
      <c r="BL238" s="313">
        <v>0</v>
      </c>
    </row>
    <row r="239" spans="1:66">
      <c r="A239" s="313" t="s">
        <v>630</v>
      </c>
      <c r="B239" s="313">
        <v>0</v>
      </c>
      <c r="C239" s="313">
        <v>0</v>
      </c>
      <c r="D239" s="313">
        <v>0</v>
      </c>
      <c r="E239" s="313">
        <v>0</v>
      </c>
      <c r="F239" s="313">
        <v>0</v>
      </c>
      <c r="G239" s="313">
        <v>0</v>
      </c>
      <c r="J239" s="313">
        <v>0</v>
      </c>
      <c r="N239" s="313">
        <v>0</v>
      </c>
      <c r="O239" s="313">
        <v>0</v>
      </c>
      <c r="P239" s="313">
        <v>0</v>
      </c>
      <c r="Q239" s="313">
        <v>0</v>
      </c>
      <c r="R239" s="313">
        <v>0</v>
      </c>
      <c r="S239" s="313">
        <v>0</v>
      </c>
      <c r="W239" s="313">
        <v>0</v>
      </c>
      <c r="AA239" s="313">
        <v>0</v>
      </c>
      <c r="AB239" s="313">
        <v>0</v>
      </c>
      <c r="AC239" s="313">
        <v>0</v>
      </c>
      <c r="AD239" s="313">
        <v>0</v>
      </c>
      <c r="AE239" s="313">
        <v>0</v>
      </c>
      <c r="AG239" s="313">
        <v>0</v>
      </c>
      <c r="AK239" s="313">
        <v>0</v>
      </c>
      <c r="AO239" s="313">
        <v>0</v>
      </c>
      <c r="AP239" s="313">
        <v>0</v>
      </c>
      <c r="AQ239" s="313">
        <v>0</v>
      </c>
      <c r="AR239" s="313">
        <v>0</v>
      </c>
      <c r="AS239" s="313">
        <v>0</v>
      </c>
      <c r="AT239" s="313">
        <v>0</v>
      </c>
      <c r="AX239" s="313">
        <v>0</v>
      </c>
      <c r="BB239" s="313">
        <v>0</v>
      </c>
      <c r="BC239" s="313">
        <v>0</v>
      </c>
      <c r="BD239" s="313">
        <v>0</v>
      </c>
      <c r="BE239" s="313">
        <v>0</v>
      </c>
      <c r="BF239" s="313">
        <v>0</v>
      </c>
      <c r="BH239" s="313">
        <v>0</v>
      </c>
      <c r="BL239" s="313">
        <v>0</v>
      </c>
    </row>
    <row r="240" spans="1:66">
      <c r="A240" s="313" t="s">
        <v>631</v>
      </c>
      <c r="B240" s="313">
        <v>0</v>
      </c>
      <c r="C240" s="313">
        <v>0</v>
      </c>
      <c r="D240" s="313">
        <v>0</v>
      </c>
      <c r="E240" s="313">
        <v>0</v>
      </c>
      <c r="F240" s="313">
        <v>0</v>
      </c>
      <c r="G240" s="313">
        <v>0</v>
      </c>
      <c r="J240" s="313">
        <v>0</v>
      </c>
      <c r="N240" s="313">
        <v>0</v>
      </c>
      <c r="O240" s="313">
        <v>0</v>
      </c>
      <c r="P240" s="313">
        <v>0</v>
      </c>
      <c r="Q240" s="313">
        <v>0</v>
      </c>
      <c r="R240" s="313">
        <v>0</v>
      </c>
      <c r="S240" s="313">
        <v>0</v>
      </c>
      <c r="W240" s="313">
        <v>0</v>
      </c>
      <c r="AA240" s="313">
        <v>0</v>
      </c>
      <c r="AB240" s="313">
        <v>0</v>
      </c>
      <c r="AC240" s="313">
        <v>0</v>
      </c>
      <c r="AD240" s="313">
        <v>0</v>
      </c>
      <c r="AE240" s="313">
        <v>0</v>
      </c>
      <c r="AG240" s="313">
        <v>0</v>
      </c>
      <c r="AK240" s="313">
        <v>0</v>
      </c>
      <c r="AO240" s="313">
        <v>0</v>
      </c>
      <c r="AP240" s="313">
        <v>0</v>
      </c>
      <c r="AQ240" s="313">
        <v>0</v>
      </c>
      <c r="AR240" s="313">
        <v>0</v>
      </c>
      <c r="AS240" s="313">
        <v>0</v>
      </c>
      <c r="AT240" s="313">
        <v>0</v>
      </c>
      <c r="AX240" s="313">
        <v>0</v>
      </c>
      <c r="BB240" s="313">
        <v>0</v>
      </c>
      <c r="BC240" s="313">
        <v>0</v>
      </c>
      <c r="BD240" s="313">
        <v>0</v>
      </c>
      <c r="BE240" s="313">
        <v>0</v>
      </c>
      <c r="BF240" s="313">
        <v>0</v>
      </c>
      <c r="BH240" s="313">
        <v>0</v>
      </c>
      <c r="BL240" s="313">
        <v>0</v>
      </c>
    </row>
    <row r="241" spans="1:66">
      <c r="A241" s="313" t="s">
        <v>632</v>
      </c>
      <c r="B241" s="313">
        <v>0</v>
      </c>
      <c r="C241" s="313">
        <v>0</v>
      </c>
      <c r="D241" s="313">
        <v>0</v>
      </c>
      <c r="E241" s="313">
        <v>0</v>
      </c>
      <c r="F241" s="313">
        <v>0</v>
      </c>
      <c r="G241" s="313">
        <v>0</v>
      </c>
      <c r="J241" s="313">
        <v>0</v>
      </c>
      <c r="N241" s="313">
        <v>0</v>
      </c>
      <c r="O241" s="313">
        <v>0</v>
      </c>
      <c r="P241" s="313">
        <v>0</v>
      </c>
      <c r="Q241" s="313">
        <v>0</v>
      </c>
      <c r="R241" s="313">
        <v>0</v>
      </c>
      <c r="S241" s="313">
        <v>0</v>
      </c>
      <c r="W241" s="313">
        <v>0</v>
      </c>
      <c r="AA241" s="313">
        <v>0</v>
      </c>
      <c r="AB241" s="313">
        <v>0</v>
      </c>
      <c r="AC241" s="313">
        <v>0</v>
      </c>
      <c r="AD241" s="313">
        <v>0</v>
      </c>
      <c r="AE241" s="313">
        <v>0</v>
      </c>
      <c r="AG241" s="313">
        <v>0</v>
      </c>
      <c r="AK241" s="313">
        <v>0</v>
      </c>
      <c r="AO241" s="313">
        <v>0</v>
      </c>
      <c r="AP241" s="313">
        <v>0</v>
      </c>
      <c r="AQ241" s="313">
        <v>0</v>
      </c>
      <c r="AR241" s="313">
        <v>0</v>
      </c>
      <c r="AS241" s="313">
        <v>0</v>
      </c>
      <c r="AT241" s="313">
        <v>0</v>
      </c>
      <c r="AX241" s="313">
        <v>0</v>
      </c>
      <c r="BB241" s="313">
        <v>0</v>
      </c>
      <c r="BC241" s="313">
        <v>0</v>
      </c>
      <c r="BD241" s="313">
        <v>0</v>
      </c>
      <c r="BE241" s="313">
        <v>0</v>
      </c>
      <c r="BF241" s="313">
        <v>0</v>
      </c>
      <c r="BH241" s="313">
        <v>0</v>
      </c>
      <c r="BL241" s="313">
        <v>0</v>
      </c>
    </row>
    <row r="242" spans="1:66">
      <c r="A242" s="313" t="s">
        <v>714</v>
      </c>
      <c r="B242" s="313">
        <v>4080.5799380000003</v>
      </c>
      <c r="C242" s="313">
        <v>6003.0397950000006</v>
      </c>
      <c r="D242" s="313">
        <v>12601.570216</v>
      </c>
      <c r="E242" s="313">
        <v>23.193974000000001</v>
      </c>
      <c r="F242" s="313">
        <v>3931.5263439999999</v>
      </c>
      <c r="G242" s="313">
        <v>16354.329019999999</v>
      </c>
      <c r="J242" s="313">
        <v>0</v>
      </c>
      <c r="N242" s="313">
        <v>2534.3614560000001</v>
      </c>
      <c r="O242" s="313">
        <v>529.20489000000009</v>
      </c>
      <c r="P242" s="313">
        <v>-1205.5604249999999</v>
      </c>
      <c r="Q242" s="313">
        <v>1640.324693</v>
      </c>
      <c r="R242" s="313">
        <v>-851.01077100000009</v>
      </c>
      <c r="S242" s="313">
        <v>3070.0944420000001</v>
      </c>
      <c r="W242" s="313">
        <v>0</v>
      </c>
      <c r="AA242" s="313">
        <v>1972.4269239999999</v>
      </c>
      <c r="AB242" s="313">
        <v>-7502.0165919999999</v>
      </c>
      <c r="AC242" s="313">
        <v>-23378.804732000001</v>
      </c>
      <c r="AD242" s="313">
        <v>5164.9066009999997</v>
      </c>
      <c r="AE242" s="313">
        <v>-30842.335139999999</v>
      </c>
      <c r="AG242" s="313">
        <v>3043.2955790000001</v>
      </c>
      <c r="AK242" s="313">
        <v>0</v>
      </c>
      <c r="AO242" s="313">
        <v>5278.7299419999999</v>
      </c>
      <c r="AP242" s="313">
        <v>2191.2107249999999</v>
      </c>
      <c r="AQ242" s="313">
        <v>-2873.2215339999998</v>
      </c>
      <c r="AR242" s="313">
        <v>14350.143069999998</v>
      </c>
      <c r="AS242" s="313">
        <v>1349.3381380000001</v>
      </c>
      <c r="AT242" s="313">
        <v>13178.031733</v>
      </c>
      <c r="AX242" s="313">
        <v>0</v>
      </c>
      <c r="BB242" s="313">
        <v>1690.7077449999999</v>
      </c>
      <c r="BC242" s="313">
        <v>345.95251099999996</v>
      </c>
      <c r="BD242" s="313">
        <v>-811.63366600000006</v>
      </c>
      <c r="BE242" s="313">
        <v>3635.141333</v>
      </c>
      <c r="BF242" s="313">
        <v>3697.2792219999997</v>
      </c>
      <c r="BH242" s="313">
        <v>7034.3151029999999</v>
      </c>
      <c r="BL242" s="313">
        <v>0</v>
      </c>
    </row>
    <row r="243" spans="1:66">
      <c r="A243" s="313" t="s">
        <v>633</v>
      </c>
      <c r="B243" s="313">
        <v>0</v>
      </c>
      <c r="C243" s="313">
        <v>0</v>
      </c>
      <c r="D243" s="313">
        <v>0</v>
      </c>
      <c r="E243" s="313">
        <v>0</v>
      </c>
      <c r="F243" s="313">
        <v>0</v>
      </c>
      <c r="G243" s="313">
        <v>0</v>
      </c>
      <c r="J243" s="313">
        <v>0</v>
      </c>
      <c r="N243" s="313">
        <v>0</v>
      </c>
      <c r="O243" s="313">
        <v>0</v>
      </c>
      <c r="P243" s="313">
        <v>0</v>
      </c>
      <c r="Q243" s="313">
        <v>0</v>
      </c>
      <c r="R243" s="313">
        <v>0</v>
      </c>
      <c r="S243" s="313">
        <v>0</v>
      </c>
      <c r="W243" s="313">
        <v>0</v>
      </c>
      <c r="AA243" s="313">
        <v>0</v>
      </c>
      <c r="AB243" s="313">
        <v>0</v>
      </c>
      <c r="AC243" s="313">
        <v>0</v>
      </c>
      <c r="AD243" s="313">
        <v>0</v>
      </c>
      <c r="AE243" s="313">
        <v>0</v>
      </c>
      <c r="AG243" s="313">
        <v>0</v>
      </c>
      <c r="AK243" s="313">
        <v>0</v>
      </c>
      <c r="AO243" s="313">
        <v>0</v>
      </c>
      <c r="AP243" s="313">
        <v>0</v>
      </c>
      <c r="AQ243" s="313">
        <v>0</v>
      </c>
      <c r="AR243" s="313">
        <v>0</v>
      </c>
      <c r="AS243" s="313">
        <v>0</v>
      </c>
      <c r="AT243" s="313">
        <v>0</v>
      </c>
      <c r="AX243" s="313">
        <v>0</v>
      </c>
      <c r="BB243" s="313">
        <v>0</v>
      </c>
      <c r="BC243" s="313">
        <v>0</v>
      </c>
      <c r="BD243" s="313">
        <v>0</v>
      </c>
      <c r="BE243" s="313">
        <v>0</v>
      </c>
      <c r="BF243" s="313">
        <v>0</v>
      </c>
      <c r="BH243" s="313">
        <v>0</v>
      </c>
      <c r="BL243" s="313">
        <v>0</v>
      </c>
    </row>
    <row r="244" spans="1:66">
      <c r="A244" s="313" t="s">
        <v>634</v>
      </c>
      <c r="B244" s="313">
        <v>0</v>
      </c>
      <c r="C244" s="313">
        <v>100.755725</v>
      </c>
      <c r="D244" s="313">
        <v>0</v>
      </c>
      <c r="E244" s="313">
        <v>157.13099800000001</v>
      </c>
      <c r="F244" s="313">
        <v>825.28407100000004</v>
      </c>
      <c r="G244" s="313">
        <v>185.11943600000001</v>
      </c>
      <c r="J244" s="313">
        <v>836.31768699999998</v>
      </c>
      <c r="N244" s="313">
        <v>1416.6381900000001</v>
      </c>
      <c r="O244" s="313">
        <v>1032.737924</v>
      </c>
      <c r="P244" s="313">
        <v>560.57608099999993</v>
      </c>
      <c r="Q244" s="313">
        <v>892.87593900000002</v>
      </c>
      <c r="R244" s="313">
        <v>856.67644299999995</v>
      </c>
      <c r="S244" s="313">
        <v>415.65766600000001</v>
      </c>
      <c r="W244" s="313">
        <v>155.77067600000001</v>
      </c>
      <c r="AA244" s="313">
        <v>209.72201600000002</v>
      </c>
      <c r="AB244" s="313">
        <v>1255.3395619999999</v>
      </c>
      <c r="AC244" s="313">
        <v>2236.05987</v>
      </c>
      <c r="AD244" s="313">
        <v>2748.169836</v>
      </c>
      <c r="AE244" s="313">
        <v>2594.6201860000001</v>
      </c>
      <c r="AG244" s="313">
        <v>2478.9215349999999</v>
      </c>
      <c r="AK244" s="313">
        <v>1551.2618239999999</v>
      </c>
      <c r="AO244" s="313">
        <v>2278.1292550000003</v>
      </c>
      <c r="AP244" s="313">
        <v>2111.500794</v>
      </c>
      <c r="AQ244" s="313">
        <v>1870.2608949999999</v>
      </c>
      <c r="AR244" s="313">
        <v>1017.095226</v>
      </c>
      <c r="AS244" s="313">
        <v>2042.0238399999998</v>
      </c>
      <c r="AT244" s="313">
        <v>1333.64968</v>
      </c>
      <c r="AX244" s="313">
        <v>2480.0904270000001</v>
      </c>
      <c r="BB244" s="313">
        <v>2346.9088179999999</v>
      </c>
      <c r="BC244" s="313">
        <v>3258.4269679999998</v>
      </c>
      <c r="BD244" s="313">
        <v>3113.1920829999999</v>
      </c>
      <c r="BE244" s="313">
        <v>2663.4824530000001</v>
      </c>
      <c r="BF244" s="313">
        <v>2775.7547679999998</v>
      </c>
      <c r="BH244" s="313">
        <v>3678.788806</v>
      </c>
      <c r="BL244" s="313">
        <v>4818.4611079999995</v>
      </c>
    </row>
    <row r="245" spans="1:66">
      <c r="A245" s="313" t="s">
        <v>635</v>
      </c>
      <c r="B245" s="313">
        <v>965.82</v>
      </c>
      <c r="C245" s="313">
        <v>14779.035897999998</v>
      </c>
      <c r="D245" s="313">
        <v>10433.238406</v>
      </c>
      <c r="E245" s="313">
        <v>5882.7929350000004</v>
      </c>
      <c r="F245" s="313">
        <v>6361.0604350000003</v>
      </c>
      <c r="G245" s="313">
        <v>16414.745180000002</v>
      </c>
      <c r="J245" s="313">
        <v>9025.8258559999995</v>
      </c>
      <c r="N245" s="313">
        <v>460.33228099999997</v>
      </c>
      <c r="O245" s="313">
        <v>532.901205</v>
      </c>
      <c r="P245" s="313">
        <v>763.24213600000007</v>
      </c>
      <c r="Q245" s="313">
        <v>1754.0608670000001</v>
      </c>
      <c r="R245" s="313">
        <v>1113.1162079999999</v>
      </c>
      <c r="S245" s="313">
        <v>1014.690693</v>
      </c>
      <c r="W245" s="313">
        <v>617.86451</v>
      </c>
      <c r="AA245" s="313">
        <v>3531.1313249999998</v>
      </c>
      <c r="AB245" s="313">
        <v>6892.7341099999994</v>
      </c>
      <c r="AC245" s="313">
        <v>12273.785901000001</v>
      </c>
      <c r="AD245" s="313">
        <v>6829.3474939999996</v>
      </c>
      <c r="AE245" s="313">
        <v>14610.785765999999</v>
      </c>
      <c r="AG245" s="313">
        <v>11508.295079000001</v>
      </c>
      <c r="AK245" s="313">
        <v>4799.075546</v>
      </c>
      <c r="AO245" s="313">
        <v>6732.0752890000003</v>
      </c>
      <c r="AP245" s="313">
        <v>8293.3834970000007</v>
      </c>
      <c r="AQ245" s="313">
        <v>8465.0341750000007</v>
      </c>
      <c r="AR245" s="313">
        <v>13968.837803</v>
      </c>
      <c r="AS245" s="313">
        <v>14105.565062</v>
      </c>
      <c r="AT245" s="313">
        <v>17054.406842</v>
      </c>
      <c r="AX245" s="313">
        <v>11340.639659999999</v>
      </c>
      <c r="BB245" s="313">
        <v>2115.1535250000002</v>
      </c>
      <c r="BC245" s="313">
        <v>5542.9257590000007</v>
      </c>
      <c r="BD245" s="313">
        <v>2942.3712209999999</v>
      </c>
      <c r="BE245" s="313">
        <v>4488.7829860000002</v>
      </c>
      <c r="BF245" s="313">
        <v>7300.8139310000006</v>
      </c>
      <c r="BH245" s="313">
        <v>15602.230971999999</v>
      </c>
      <c r="BL245" s="313">
        <v>7429.1761129999995</v>
      </c>
    </row>
    <row r="246" spans="1:66">
      <c r="A246" s="313" t="s">
        <v>636</v>
      </c>
      <c r="B246" s="313">
        <v>0</v>
      </c>
      <c r="C246" s="313">
        <v>0</v>
      </c>
      <c r="D246" s="313">
        <v>0</v>
      </c>
      <c r="E246" s="313">
        <v>0</v>
      </c>
      <c r="F246" s="313">
        <v>0</v>
      </c>
      <c r="G246" s="313">
        <v>0</v>
      </c>
      <c r="J246" s="313">
        <v>0</v>
      </c>
      <c r="N246" s="313">
        <v>0</v>
      </c>
      <c r="O246" s="313">
        <v>0</v>
      </c>
      <c r="P246" s="313">
        <v>0</v>
      </c>
      <c r="Q246" s="313">
        <v>0</v>
      </c>
      <c r="R246" s="313">
        <v>0</v>
      </c>
      <c r="S246" s="313">
        <v>0</v>
      </c>
      <c r="W246" s="313">
        <v>0</v>
      </c>
      <c r="AA246" s="313">
        <v>0</v>
      </c>
      <c r="AB246" s="313">
        <v>0</v>
      </c>
      <c r="AC246" s="313">
        <v>0</v>
      </c>
      <c r="AD246" s="313">
        <v>0</v>
      </c>
      <c r="AE246" s="313">
        <v>0</v>
      </c>
      <c r="AG246" s="313">
        <v>0</v>
      </c>
      <c r="AK246" s="313">
        <v>0</v>
      </c>
      <c r="AO246" s="313">
        <v>0</v>
      </c>
      <c r="AP246" s="313">
        <v>0</v>
      </c>
      <c r="AQ246" s="313">
        <v>0</v>
      </c>
      <c r="AR246" s="313">
        <v>0</v>
      </c>
      <c r="AS246" s="313">
        <v>0</v>
      </c>
      <c r="AT246" s="313">
        <v>0</v>
      </c>
      <c r="AX246" s="313">
        <v>0</v>
      </c>
      <c r="BB246" s="313">
        <v>0</v>
      </c>
      <c r="BC246" s="313">
        <v>0</v>
      </c>
      <c r="BD246" s="313">
        <v>0</v>
      </c>
      <c r="BE246" s="313">
        <v>0</v>
      </c>
      <c r="BF246" s="313">
        <v>0</v>
      </c>
      <c r="BH246" s="313">
        <v>0</v>
      </c>
      <c r="BL246" s="313">
        <v>0</v>
      </c>
    </row>
    <row r="247" spans="1:66">
      <c r="A247" s="313" t="s">
        <v>637</v>
      </c>
      <c r="B247" s="313">
        <v>0</v>
      </c>
      <c r="C247" s="313">
        <v>0</v>
      </c>
      <c r="D247" s="313">
        <v>0</v>
      </c>
      <c r="E247" s="313">
        <v>0</v>
      </c>
      <c r="F247" s="313">
        <v>0</v>
      </c>
      <c r="G247" s="313">
        <v>0</v>
      </c>
      <c r="J247" s="313">
        <v>0</v>
      </c>
      <c r="N247" s="313">
        <v>0</v>
      </c>
      <c r="O247" s="313">
        <v>0</v>
      </c>
      <c r="P247" s="313">
        <v>0</v>
      </c>
      <c r="Q247" s="313">
        <v>0</v>
      </c>
      <c r="R247" s="313">
        <v>0</v>
      </c>
      <c r="S247" s="313">
        <v>0</v>
      </c>
      <c r="W247" s="313">
        <v>0</v>
      </c>
      <c r="AA247" s="313">
        <v>0</v>
      </c>
      <c r="AB247" s="313">
        <v>0</v>
      </c>
      <c r="AC247" s="313">
        <v>0</v>
      </c>
      <c r="AD247" s="313">
        <v>0</v>
      </c>
      <c r="AE247" s="313">
        <v>0</v>
      </c>
      <c r="AG247" s="313">
        <v>0</v>
      </c>
      <c r="AK247" s="313">
        <v>0</v>
      </c>
      <c r="AO247" s="313">
        <v>0</v>
      </c>
      <c r="AP247" s="313">
        <v>0</v>
      </c>
      <c r="AQ247" s="313">
        <v>0</v>
      </c>
      <c r="AR247" s="313">
        <v>0</v>
      </c>
      <c r="AS247" s="313">
        <v>0</v>
      </c>
      <c r="AT247" s="313">
        <v>0</v>
      </c>
      <c r="AX247" s="313">
        <v>0</v>
      </c>
      <c r="BB247" s="313">
        <v>0</v>
      </c>
      <c r="BC247" s="313">
        <v>0</v>
      </c>
      <c r="BD247" s="313">
        <v>0</v>
      </c>
      <c r="BE247" s="313">
        <v>0</v>
      </c>
      <c r="BF247" s="313">
        <v>0</v>
      </c>
      <c r="BH247" s="313">
        <v>0</v>
      </c>
      <c r="BL247" s="313">
        <v>0</v>
      </c>
    </row>
    <row r="248" spans="1:66">
      <c r="A248" s="333" t="s">
        <v>638</v>
      </c>
      <c r="B248" s="333">
        <v>39413.030293000003</v>
      </c>
      <c r="C248" s="333">
        <v>67514.959577000001</v>
      </c>
      <c r="D248" s="333">
        <v>65508.355426999995</v>
      </c>
      <c r="E248" s="333">
        <v>101319.65517699999</v>
      </c>
      <c r="F248" s="333">
        <v>164685.582104</v>
      </c>
      <c r="G248" s="333">
        <v>167471.423885</v>
      </c>
      <c r="H248" s="333"/>
      <c r="I248" s="333"/>
      <c r="J248" s="333">
        <v>102901.97229999999</v>
      </c>
      <c r="K248" s="333"/>
      <c r="L248" s="333"/>
      <c r="M248" s="333"/>
      <c r="N248" s="333">
        <v>61930.113359000003</v>
      </c>
      <c r="O248" s="333">
        <v>72060.808388000005</v>
      </c>
      <c r="P248" s="333">
        <v>67646.595304999995</v>
      </c>
      <c r="Q248" s="333">
        <v>84750.465037000002</v>
      </c>
      <c r="R248" s="333">
        <v>90336.110392999995</v>
      </c>
      <c r="S248" s="333">
        <v>85407.827927999999</v>
      </c>
      <c r="T248" s="333"/>
      <c r="U248" s="333"/>
      <c r="V248" s="333"/>
      <c r="W248" s="333">
        <v>51270.915991000002</v>
      </c>
      <c r="X248" s="333"/>
      <c r="Y248" s="333"/>
      <c r="Z248" s="333"/>
      <c r="AA248" s="333">
        <v>184066.05345099999</v>
      </c>
      <c r="AB248" s="333">
        <v>259916.03992700001</v>
      </c>
      <c r="AC248" s="333">
        <v>307286.77408599999</v>
      </c>
      <c r="AD248" s="333">
        <v>413508.77946699999</v>
      </c>
      <c r="AE248" s="333">
        <v>506497.38857299997</v>
      </c>
      <c r="AF248" s="333"/>
      <c r="AG248" s="333">
        <v>592138.87723400001</v>
      </c>
      <c r="AH248" s="333"/>
      <c r="AI248" s="333"/>
      <c r="AJ248" s="333"/>
      <c r="AK248" s="333">
        <v>389733.11469399999</v>
      </c>
      <c r="AL248" s="333"/>
      <c r="AM248" s="333"/>
      <c r="AN248" s="333"/>
      <c r="AO248" s="333">
        <v>88848.553577999992</v>
      </c>
      <c r="AP248" s="333">
        <v>121530.01336700001</v>
      </c>
      <c r="AQ248" s="333">
        <v>142640.199715</v>
      </c>
      <c r="AR248" s="333">
        <v>180411.42908099998</v>
      </c>
      <c r="AS248" s="333">
        <v>217501.70165800001</v>
      </c>
      <c r="AT248" s="333">
        <v>244786.73817800003</v>
      </c>
      <c r="AU248" s="333"/>
      <c r="AV248" s="333"/>
      <c r="AW248" s="333"/>
      <c r="AX248" s="333">
        <v>159395.46994100002</v>
      </c>
      <c r="AY248" s="333"/>
      <c r="AZ248" s="333"/>
      <c r="BA248" s="333"/>
      <c r="BB248" s="333">
        <v>27772.580304999999</v>
      </c>
      <c r="BC248" s="333">
        <v>45947.500960999998</v>
      </c>
      <c r="BD248" s="333">
        <v>38661.074251999999</v>
      </c>
      <c r="BE248" s="333">
        <v>48657.496562</v>
      </c>
      <c r="BF248" s="333">
        <v>54372.764022000003</v>
      </c>
      <c r="BG248" s="333"/>
      <c r="BH248" s="333">
        <v>75256.062994000007</v>
      </c>
      <c r="BI248" s="333"/>
      <c r="BJ248" s="333"/>
      <c r="BK248" s="333"/>
      <c r="BL248" s="333">
        <v>60620.337640999998</v>
      </c>
      <c r="BM248" s="333"/>
      <c r="BN248" s="333"/>
    </row>
    <row r="249" spans="1:66">
      <c r="A249" s="313" t="s">
        <v>639</v>
      </c>
      <c r="B249" s="313">
        <v>16063.052044</v>
      </c>
      <c r="C249" s="313">
        <v>28257.568931000002</v>
      </c>
      <c r="D249" s="313">
        <v>30011.199354000004</v>
      </c>
      <c r="E249" s="313">
        <v>57337.916766999995</v>
      </c>
      <c r="F249" s="313">
        <v>96619.564373000001</v>
      </c>
      <c r="G249" s="313">
        <v>81681.656696000005</v>
      </c>
      <c r="J249" s="313">
        <v>79133.929026999991</v>
      </c>
      <c r="N249" s="313">
        <v>9886.369874</v>
      </c>
      <c r="O249" s="313">
        <v>9418.4354380000004</v>
      </c>
      <c r="P249" s="313">
        <v>10837.693958</v>
      </c>
      <c r="Q249" s="313">
        <v>12683.507520000001</v>
      </c>
      <c r="R249" s="313">
        <v>9691.8412930000013</v>
      </c>
      <c r="S249" s="313">
        <v>8881.1879760000011</v>
      </c>
      <c r="W249" s="313">
        <v>13901.630700999998</v>
      </c>
      <c r="AA249" s="313">
        <v>136375.753532</v>
      </c>
      <c r="AB249" s="313">
        <v>211248.17989200001</v>
      </c>
      <c r="AC249" s="313">
        <v>221917.52098200002</v>
      </c>
      <c r="AD249" s="313">
        <v>317265.35580100003</v>
      </c>
      <c r="AE249" s="313">
        <v>397480.31882300001</v>
      </c>
      <c r="AG249" s="313">
        <v>464766.62711499998</v>
      </c>
      <c r="AK249" s="313">
        <v>221710.155092</v>
      </c>
      <c r="AO249" s="313">
        <v>29576.945994999998</v>
      </c>
      <c r="AP249" s="313">
        <v>35351.769177999995</v>
      </c>
      <c r="AQ249" s="313">
        <v>39110.704740000001</v>
      </c>
      <c r="AR249" s="313">
        <v>52316.652795999995</v>
      </c>
      <c r="AS249" s="313">
        <v>58196.525655999991</v>
      </c>
      <c r="AT249" s="313">
        <v>64379.243959000007</v>
      </c>
      <c r="AX249" s="313">
        <v>59073.387721000006</v>
      </c>
      <c r="BB249" s="313">
        <v>2204.3243210000001</v>
      </c>
      <c r="BC249" s="313">
        <v>4860.1701649999995</v>
      </c>
      <c r="BD249" s="313">
        <v>6000.4771909999999</v>
      </c>
      <c r="BE249" s="313">
        <v>12183.890348000001</v>
      </c>
      <c r="BF249" s="313">
        <v>12761.866604999999</v>
      </c>
      <c r="BH249" s="313">
        <v>17318.772324000001</v>
      </c>
      <c r="BL249" s="313">
        <v>10748.375604999999</v>
      </c>
    </row>
    <row r="250" spans="1:66">
      <c r="A250" s="313" t="s">
        <v>640</v>
      </c>
      <c r="B250" s="313">
        <v>0</v>
      </c>
      <c r="C250" s="313">
        <v>0</v>
      </c>
      <c r="D250" s="313">
        <v>0</v>
      </c>
      <c r="E250" s="313">
        <v>0</v>
      </c>
      <c r="F250" s="313">
        <v>0</v>
      </c>
      <c r="G250" s="313">
        <v>0</v>
      </c>
      <c r="J250" s="313">
        <v>0</v>
      </c>
      <c r="N250" s="313">
        <v>0</v>
      </c>
      <c r="O250" s="313">
        <v>0</v>
      </c>
      <c r="P250" s="313">
        <v>0</v>
      </c>
      <c r="Q250" s="313">
        <v>0</v>
      </c>
      <c r="R250" s="313">
        <v>0</v>
      </c>
      <c r="S250" s="313">
        <v>0</v>
      </c>
      <c r="W250" s="313">
        <v>0</v>
      </c>
      <c r="AA250" s="313">
        <v>0</v>
      </c>
      <c r="AB250" s="313">
        <v>0</v>
      </c>
      <c r="AC250" s="313">
        <v>0</v>
      </c>
      <c r="AD250" s="313">
        <v>0</v>
      </c>
      <c r="AE250" s="313">
        <v>0</v>
      </c>
      <c r="AG250" s="313">
        <v>0</v>
      </c>
      <c r="AK250" s="313">
        <v>0</v>
      </c>
      <c r="AO250" s="313">
        <v>0</v>
      </c>
      <c r="AP250" s="313">
        <v>0</v>
      </c>
      <c r="AQ250" s="313">
        <v>0</v>
      </c>
      <c r="AR250" s="313">
        <v>0</v>
      </c>
      <c r="AS250" s="313">
        <v>0</v>
      </c>
      <c r="AT250" s="313">
        <v>0</v>
      </c>
      <c r="AX250" s="313">
        <v>0</v>
      </c>
      <c r="BB250" s="313">
        <v>0</v>
      </c>
      <c r="BC250" s="313">
        <v>0</v>
      </c>
      <c r="BD250" s="313">
        <v>0</v>
      </c>
      <c r="BE250" s="313">
        <v>0</v>
      </c>
      <c r="BF250" s="313">
        <v>0</v>
      </c>
      <c r="BH250" s="313">
        <v>0</v>
      </c>
      <c r="BL250" s="313">
        <v>0</v>
      </c>
    </row>
    <row r="251" spans="1:66">
      <c r="A251" s="313" t="s">
        <v>641</v>
      </c>
      <c r="B251" s="313">
        <v>0</v>
      </c>
      <c r="C251" s="313">
        <v>0</v>
      </c>
      <c r="D251" s="313">
        <v>0</v>
      </c>
      <c r="E251" s="313">
        <v>0</v>
      </c>
      <c r="F251" s="313">
        <v>0</v>
      </c>
      <c r="G251" s="313">
        <v>0</v>
      </c>
      <c r="J251" s="313">
        <v>0</v>
      </c>
      <c r="N251" s="313">
        <v>0</v>
      </c>
      <c r="O251" s="313">
        <v>0</v>
      </c>
      <c r="P251" s="313">
        <v>0</v>
      </c>
      <c r="Q251" s="313">
        <v>0</v>
      </c>
      <c r="R251" s="313">
        <v>0</v>
      </c>
      <c r="S251" s="313">
        <v>0</v>
      </c>
      <c r="W251" s="313">
        <v>0</v>
      </c>
      <c r="AA251" s="313">
        <v>0</v>
      </c>
      <c r="AB251" s="313">
        <v>0</v>
      </c>
      <c r="AC251" s="313">
        <v>0</v>
      </c>
      <c r="AD251" s="313">
        <v>0</v>
      </c>
      <c r="AE251" s="313">
        <v>0</v>
      </c>
      <c r="AG251" s="313">
        <v>0</v>
      </c>
      <c r="AK251" s="313">
        <v>0</v>
      </c>
      <c r="AO251" s="313">
        <v>0</v>
      </c>
      <c r="AP251" s="313">
        <v>0</v>
      </c>
      <c r="AQ251" s="313">
        <v>0</v>
      </c>
      <c r="AR251" s="313">
        <v>0</v>
      </c>
      <c r="AS251" s="313">
        <v>0</v>
      </c>
      <c r="AT251" s="313">
        <v>0</v>
      </c>
      <c r="AX251" s="313">
        <v>0</v>
      </c>
      <c r="BB251" s="313">
        <v>0</v>
      </c>
      <c r="BC251" s="313">
        <v>0</v>
      </c>
      <c r="BD251" s="313">
        <v>0</v>
      </c>
      <c r="BE251" s="313">
        <v>0</v>
      </c>
      <c r="BF251" s="313">
        <v>0</v>
      </c>
      <c r="BH251" s="313">
        <v>0</v>
      </c>
      <c r="BL251" s="313">
        <v>0</v>
      </c>
    </row>
    <row r="252" spans="1:66">
      <c r="A252" s="313" t="s">
        <v>642</v>
      </c>
      <c r="B252" s="313">
        <v>0</v>
      </c>
      <c r="C252" s="313">
        <v>0</v>
      </c>
      <c r="D252" s="313">
        <v>0</v>
      </c>
      <c r="E252" s="313">
        <v>0</v>
      </c>
      <c r="F252" s="313">
        <v>0</v>
      </c>
      <c r="G252" s="313">
        <v>0</v>
      </c>
      <c r="J252" s="313">
        <v>0</v>
      </c>
      <c r="N252" s="313">
        <v>0</v>
      </c>
      <c r="O252" s="313">
        <v>0</v>
      </c>
      <c r="P252" s="313">
        <v>0</v>
      </c>
      <c r="Q252" s="313">
        <v>0</v>
      </c>
      <c r="R252" s="313">
        <v>0</v>
      </c>
      <c r="S252" s="313">
        <v>0</v>
      </c>
      <c r="W252" s="313">
        <v>0</v>
      </c>
      <c r="AA252" s="313">
        <v>0</v>
      </c>
      <c r="AB252" s="313">
        <v>0</v>
      </c>
      <c r="AC252" s="313">
        <v>0</v>
      </c>
      <c r="AD252" s="313">
        <v>0</v>
      </c>
      <c r="AE252" s="313">
        <v>0</v>
      </c>
      <c r="AG252" s="313">
        <v>0</v>
      </c>
      <c r="AK252" s="313">
        <v>0</v>
      </c>
      <c r="AO252" s="313">
        <v>0</v>
      </c>
      <c r="AP252" s="313">
        <v>0</v>
      </c>
      <c r="AQ252" s="313">
        <v>0</v>
      </c>
      <c r="AR252" s="313">
        <v>0</v>
      </c>
      <c r="AS252" s="313">
        <v>0</v>
      </c>
      <c r="AT252" s="313">
        <v>0</v>
      </c>
      <c r="AX252" s="313">
        <v>0</v>
      </c>
      <c r="BB252" s="313">
        <v>0</v>
      </c>
      <c r="BC252" s="313">
        <v>0</v>
      </c>
      <c r="BD252" s="313">
        <v>0</v>
      </c>
      <c r="BE252" s="313">
        <v>0</v>
      </c>
      <c r="BF252" s="313">
        <v>0</v>
      </c>
      <c r="BH252" s="313">
        <v>0</v>
      </c>
      <c r="BL252" s="313">
        <v>0</v>
      </c>
    </row>
    <row r="253" spans="1:66">
      <c r="A253" s="313" t="s">
        <v>643</v>
      </c>
      <c r="B253" s="313">
        <v>0</v>
      </c>
      <c r="C253" s="313">
        <v>0</v>
      </c>
      <c r="D253" s="313">
        <v>0</v>
      </c>
      <c r="E253" s="313">
        <v>0</v>
      </c>
      <c r="F253" s="313">
        <v>0</v>
      </c>
      <c r="G253" s="313">
        <v>0</v>
      </c>
      <c r="J253" s="313">
        <v>0</v>
      </c>
      <c r="N253" s="313">
        <v>0</v>
      </c>
      <c r="O253" s="313">
        <v>0</v>
      </c>
      <c r="P253" s="313">
        <v>0</v>
      </c>
      <c r="Q253" s="313">
        <v>0</v>
      </c>
      <c r="R253" s="313">
        <v>0</v>
      </c>
      <c r="S253" s="313">
        <v>0</v>
      </c>
      <c r="W253" s="313">
        <v>0</v>
      </c>
      <c r="AA253" s="313">
        <v>0</v>
      </c>
      <c r="AB253" s="313">
        <v>0</v>
      </c>
      <c r="AC253" s="313">
        <v>0</v>
      </c>
      <c r="AD253" s="313">
        <v>0</v>
      </c>
      <c r="AE253" s="313">
        <v>0</v>
      </c>
      <c r="AG253" s="313">
        <v>0</v>
      </c>
      <c r="AK253" s="313">
        <v>0</v>
      </c>
      <c r="AO253" s="313">
        <v>0</v>
      </c>
      <c r="AP253" s="313">
        <v>0</v>
      </c>
      <c r="AQ253" s="313">
        <v>0</v>
      </c>
      <c r="AR253" s="313">
        <v>0</v>
      </c>
      <c r="AS253" s="313">
        <v>0</v>
      </c>
      <c r="AT253" s="313">
        <v>0</v>
      </c>
      <c r="AX253" s="313">
        <v>0</v>
      </c>
      <c r="BB253" s="313">
        <v>0</v>
      </c>
      <c r="BC253" s="313">
        <v>0</v>
      </c>
      <c r="BD253" s="313">
        <v>0</v>
      </c>
      <c r="BE253" s="313">
        <v>0</v>
      </c>
      <c r="BF253" s="313">
        <v>0</v>
      </c>
      <c r="BH253" s="313">
        <v>0</v>
      </c>
      <c r="BL253" s="313">
        <v>0</v>
      </c>
    </row>
    <row r="254" spans="1:66">
      <c r="A254" s="313" t="s">
        <v>644</v>
      </c>
      <c r="B254" s="313">
        <v>0</v>
      </c>
      <c r="C254" s="313">
        <v>0</v>
      </c>
      <c r="D254" s="313">
        <v>0</v>
      </c>
      <c r="E254" s="313">
        <v>0</v>
      </c>
      <c r="F254" s="313">
        <v>0</v>
      </c>
      <c r="G254" s="313">
        <v>0</v>
      </c>
      <c r="J254" s="313">
        <v>0</v>
      </c>
      <c r="N254" s="313">
        <v>0</v>
      </c>
      <c r="O254" s="313">
        <v>0</v>
      </c>
      <c r="P254" s="313">
        <v>0</v>
      </c>
      <c r="Q254" s="313">
        <v>0</v>
      </c>
      <c r="R254" s="313">
        <v>0</v>
      </c>
      <c r="S254" s="313">
        <v>0</v>
      </c>
      <c r="W254" s="313">
        <v>0</v>
      </c>
      <c r="AA254" s="313">
        <v>0</v>
      </c>
      <c r="AB254" s="313">
        <v>0</v>
      </c>
      <c r="AC254" s="313">
        <v>0</v>
      </c>
      <c r="AD254" s="313">
        <v>0</v>
      </c>
      <c r="AE254" s="313">
        <v>0</v>
      </c>
      <c r="AG254" s="313">
        <v>0</v>
      </c>
      <c r="AK254" s="313">
        <v>0</v>
      </c>
      <c r="AO254" s="313">
        <v>0</v>
      </c>
      <c r="AP254" s="313">
        <v>0</v>
      </c>
      <c r="AQ254" s="313">
        <v>0</v>
      </c>
      <c r="AR254" s="313">
        <v>0</v>
      </c>
      <c r="AS254" s="313">
        <v>0</v>
      </c>
      <c r="AT254" s="313">
        <v>0</v>
      </c>
      <c r="AX254" s="313">
        <v>0</v>
      </c>
      <c r="BB254" s="313">
        <v>0</v>
      </c>
      <c r="BC254" s="313">
        <v>0</v>
      </c>
      <c r="BD254" s="313">
        <v>0</v>
      </c>
      <c r="BE254" s="313">
        <v>0</v>
      </c>
      <c r="BF254" s="313">
        <v>0</v>
      </c>
      <c r="BH254" s="313">
        <v>0</v>
      </c>
      <c r="BL254" s="313">
        <v>0</v>
      </c>
    </row>
    <row r="255" spans="1:66">
      <c r="A255" s="313" t="s">
        <v>645</v>
      </c>
      <c r="B255" s="313">
        <v>14317.667093</v>
      </c>
      <c r="C255" s="313">
        <v>19171.714303000001</v>
      </c>
      <c r="D255" s="313">
        <v>27061.642317000002</v>
      </c>
      <c r="E255" s="313">
        <v>33510.128343999997</v>
      </c>
      <c r="F255" s="313">
        <v>42649.885563999997</v>
      </c>
      <c r="G255" s="313">
        <v>44377.424014999997</v>
      </c>
      <c r="J255" s="313">
        <v>40789.337294999998</v>
      </c>
      <c r="N255" s="313">
        <v>41830.027191000001</v>
      </c>
      <c r="O255" s="313">
        <v>43071.778039999997</v>
      </c>
      <c r="P255" s="313">
        <v>46810.122915</v>
      </c>
      <c r="Q255" s="313">
        <v>49224.994418000002</v>
      </c>
      <c r="R255" s="313">
        <v>56208.741563999996</v>
      </c>
      <c r="S255" s="313">
        <v>54820.860234</v>
      </c>
      <c r="W255" s="313">
        <v>44391.941052999995</v>
      </c>
      <c r="AA255" s="313">
        <v>36150.094745000002</v>
      </c>
      <c r="AB255" s="313">
        <v>47703.346417000001</v>
      </c>
      <c r="AC255" s="313">
        <v>59248.551923999999</v>
      </c>
      <c r="AD255" s="313">
        <v>77608.601788</v>
      </c>
      <c r="AE255" s="313">
        <v>98194.497117999999</v>
      </c>
      <c r="AG255" s="313">
        <v>88854.129438999997</v>
      </c>
      <c r="AK255" s="313">
        <v>73622.745607999997</v>
      </c>
      <c r="AO255" s="313">
        <v>30234.016943999999</v>
      </c>
      <c r="AP255" s="313">
        <v>52304.616535000001</v>
      </c>
      <c r="AQ255" s="313">
        <v>57250.284846000002</v>
      </c>
      <c r="AR255" s="313">
        <v>67986.010725</v>
      </c>
      <c r="AS255" s="313">
        <v>82973.651515999998</v>
      </c>
      <c r="AT255" s="313">
        <v>101482.681087</v>
      </c>
      <c r="AX255" s="313">
        <v>97447.136436000001</v>
      </c>
      <c r="BB255" s="313">
        <v>8324.6877450000011</v>
      </c>
      <c r="BC255" s="313">
        <v>10277.416648</v>
      </c>
      <c r="BD255" s="313">
        <v>9718.1643750000003</v>
      </c>
      <c r="BE255" s="313">
        <v>10801.778659</v>
      </c>
      <c r="BF255" s="313">
        <v>12487.579901000001</v>
      </c>
      <c r="BH255" s="313">
        <v>20681.845816000001</v>
      </c>
      <c r="BL255" s="313">
        <v>24758.019388000001</v>
      </c>
    </row>
    <row r="256" spans="1:66">
      <c r="A256" s="313" t="s">
        <v>646</v>
      </c>
      <c r="B256" s="313">
        <v>2136.3366960000003</v>
      </c>
      <c r="C256" s="313">
        <v>2171.878678</v>
      </c>
      <c r="D256" s="313">
        <v>3008.1546440000002</v>
      </c>
      <c r="E256" s="313">
        <v>3117.5785019999998</v>
      </c>
      <c r="F256" s="313">
        <v>7618.8429859999997</v>
      </c>
      <c r="G256" s="313">
        <v>6277.6781280000005</v>
      </c>
      <c r="J256" s="313">
        <v>3289.1327409999999</v>
      </c>
      <c r="N256" s="313">
        <v>3987.5736030000003</v>
      </c>
      <c r="O256" s="313">
        <v>4766.8713799999996</v>
      </c>
      <c r="P256" s="313">
        <v>4931.7441669999998</v>
      </c>
      <c r="Q256" s="313">
        <v>5059.5563320000001</v>
      </c>
      <c r="R256" s="313">
        <v>4548.2586860000001</v>
      </c>
      <c r="S256" s="313">
        <v>3887.8683409999994</v>
      </c>
      <c r="W256" s="313">
        <v>2332.9778609999998</v>
      </c>
      <c r="AA256" s="313">
        <v>5208.1885600000005</v>
      </c>
      <c r="AB256" s="313">
        <v>5792.7452560000002</v>
      </c>
      <c r="AC256" s="313">
        <v>7372.0515169999999</v>
      </c>
      <c r="AD256" s="313">
        <v>8876.4138540000004</v>
      </c>
      <c r="AE256" s="313">
        <v>11526.682162999999</v>
      </c>
      <c r="AG256" s="313">
        <v>11605.410881</v>
      </c>
      <c r="AK256" s="313">
        <v>9373.4886590000006</v>
      </c>
      <c r="AO256" s="313">
        <v>10798.117017</v>
      </c>
      <c r="AP256" s="313">
        <v>8300.8489919999993</v>
      </c>
      <c r="AQ256" s="313">
        <v>12554.147151000001</v>
      </c>
      <c r="AR256" s="313">
        <v>14839.521928999999</v>
      </c>
      <c r="AS256" s="313">
        <v>18818.314236999999</v>
      </c>
      <c r="AT256" s="313">
        <v>16528.553814999999</v>
      </c>
      <c r="AX256" s="313">
        <v>11071.593106999999</v>
      </c>
      <c r="BB256" s="313">
        <v>4205.5814559999999</v>
      </c>
      <c r="BC256" s="313">
        <v>6711.2252330000001</v>
      </c>
      <c r="BD256" s="313">
        <v>4876.4068259999995</v>
      </c>
      <c r="BE256" s="313">
        <v>4982.5685549999998</v>
      </c>
      <c r="BF256" s="313">
        <v>7173.9503849999992</v>
      </c>
      <c r="BH256" s="313">
        <v>6079.9373900000001</v>
      </c>
      <c r="BL256" s="313">
        <v>10250.066301000001</v>
      </c>
    </row>
    <row r="257" spans="1:66">
      <c r="A257" s="313" t="s">
        <v>647</v>
      </c>
      <c r="B257" s="313">
        <v>3384.7554540000001</v>
      </c>
      <c r="C257" s="313">
        <v>6443.0888850000001</v>
      </c>
      <c r="D257" s="313">
        <v>5750.8769890000003</v>
      </c>
      <c r="E257" s="313">
        <v>9183.9597099999992</v>
      </c>
      <c r="F257" s="313">
        <v>8432.1302680000008</v>
      </c>
      <c r="G257" s="313">
        <v>9306.5506299999997</v>
      </c>
      <c r="J257" s="313">
        <v>14281.631091999998</v>
      </c>
      <c r="N257" s="313">
        <v>5924.7800549999993</v>
      </c>
      <c r="O257" s="313">
        <v>6594.2173759999996</v>
      </c>
      <c r="P257" s="313">
        <v>7008.478384</v>
      </c>
      <c r="Q257" s="313">
        <v>8940.822959000001</v>
      </c>
      <c r="R257" s="313">
        <v>11272.635887</v>
      </c>
      <c r="S257" s="313">
        <v>7490.9133379999994</v>
      </c>
      <c r="W257" s="313">
        <v>5242.9330959999998</v>
      </c>
      <c r="AA257" s="313">
        <v>13037.947253</v>
      </c>
      <c r="AB257" s="313">
        <v>16429.195394999999</v>
      </c>
      <c r="AC257" s="313">
        <v>11039.202116</v>
      </c>
      <c r="AD257" s="313">
        <v>19158.635944999998</v>
      </c>
      <c r="AE257" s="313">
        <v>35544.197029000003</v>
      </c>
      <c r="AG257" s="313">
        <v>24516.050287999999</v>
      </c>
      <c r="AK257" s="313">
        <v>13402.931079</v>
      </c>
      <c r="AO257" s="313">
        <v>9400.603156000001</v>
      </c>
      <c r="AP257" s="313">
        <v>16550.16979</v>
      </c>
      <c r="AQ257" s="313">
        <v>11820.181799</v>
      </c>
      <c r="AR257" s="313">
        <v>21344.314968999999</v>
      </c>
      <c r="AS257" s="313">
        <v>23674.574903000001</v>
      </c>
      <c r="AT257" s="313">
        <v>18978.891955999999</v>
      </c>
      <c r="AX257" s="313">
        <v>13761.995922999999</v>
      </c>
      <c r="BB257" s="313">
        <v>6480.477989</v>
      </c>
      <c r="BC257" s="313">
        <v>9359.563157999999</v>
      </c>
      <c r="BD257" s="313">
        <v>7149.1719670000002</v>
      </c>
      <c r="BE257" s="313">
        <v>8023.7013069999994</v>
      </c>
      <c r="BF257" s="313">
        <v>13190.603779999999</v>
      </c>
      <c r="BH257" s="313">
        <v>18834.194009999999</v>
      </c>
      <c r="BL257" s="313">
        <v>11037.784159000001</v>
      </c>
    </row>
    <row r="258" spans="1:66">
      <c r="A258" s="313" t="s">
        <v>648</v>
      </c>
      <c r="B258" s="313">
        <v>0</v>
      </c>
      <c r="C258" s="313">
        <v>0</v>
      </c>
      <c r="D258" s="313">
        <v>0</v>
      </c>
      <c r="E258" s="313">
        <v>0</v>
      </c>
      <c r="F258" s="313">
        <v>0</v>
      </c>
      <c r="G258" s="313">
        <v>0</v>
      </c>
      <c r="J258" s="313">
        <v>0</v>
      </c>
      <c r="N258" s="313">
        <v>0</v>
      </c>
      <c r="O258" s="313">
        <v>0</v>
      </c>
      <c r="P258" s="313">
        <v>0</v>
      </c>
      <c r="Q258" s="313">
        <v>0</v>
      </c>
      <c r="R258" s="313">
        <v>0</v>
      </c>
      <c r="S258" s="313">
        <v>0</v>
      </c>
      <c r="W258" s="313">
        <v>0</v>
      </c>
      <c r="AA258" s="313">
        <v>0</v>
      </c>
      <c r="AB258" s="313">
        <v>0</v>
      </c>
      <c r="AC258" s="313">
        <v>0</v>
      </c>
      <c r="AD258" s="313">
        <v>0</v>
      </c>
      <c r="AE258" s="313">
        <v>0</v>
      </c>
      <c r="AG258" s="313">
        <v>0</v>
      </c>
      <c r="AK258" s="313">
        <v>0</v>
      </c>
      <c r="AO258" s="313">
        <v>0</v>
      </c>
      <c r="AP258" s="313">
        <v>0</v>
      </c>
      <c r="AQ258" s="313">
        <v>0</v>
      </c>
      <c r="AR258" s="313">
        <v>0</v>
      </c>
      <c r="AS258" s="313">
        <v>0</v>
      </c>
      <c r="AT258" s="313">
        <v>0</v>
      </c>
      <c r="AX258" s="313">
        <v>0</v>
      </c>
      <c r="BB258" s="313">
        <v>0</v>
      </c>
      <c r="BC258" s="313">
        <v>0</v>
      </c>
      <c r="BD258" s="313">
        <v>0</v>
      </c>
      <c r="BE258" s="313">
        <v>0</v>
      </c>
      <c r="BF258" s="313">
        <v>0</v>
      </c>
      <c r="BH258" s="313">
        <v>0</v>
      </c>
      <c r="BL258" s="313">
        <v>0</v>
      </c>
    </row>
    <row r="259" spans="1:66">
      <c r="A259" s="313" t="s">
        <v>649</v>
      </c>
      <c r="B259" s="313">
        <v>0</v>
      </c>
      <c r="C259" s="313">
        <v>0</v>
      </c>
      <c r="D259" s="313">
        <v>0</v>
      </c>
      <c r="E259" s="313">
        <v>0</v>
      </c>
      <c r="F259" s="313">
        <v>0</v>
      </c>
      <c r="G259" s="313">
        <v>0</v>
      </c>
      <c r="J259" s="313">
        <v>0</v>
      </c>
      <c r="N259" s="313">
        <v>0</v>
      </c>
      <c r="O259" s="313">
        <v>0</v>
      </c>
      <c r="P259" s="313">
        <v>0</v>
      </c>
      <c r="Q259" s="313">
        <v>0</v>
      </c>
      <c r="R259" s="313">
        <v>0</v>
      </c>
      <c r="S259" s="313">
        <v>0</v>
      </c>
      <c r="W259" s="313">
        <v>0</v>
      </c>
      <c r="AA259" s="313">
        <v>0</v>
      </c>
      <c r="AB259" s="313">
        <v>0</v>
      </c>
      <c r="AC259" s="313">
        <v>0</v>
      </c>
      <c r="AD259" s="313">
        <v>0</v>
      </c>
      <c r="AE259" s="313">
        <v>0</v>
      </c>
      <c r="AG259" s="313">
        <v>0</v>
      </c>
      <c r="AK259" s="313">
        <v>0</v>
      </c>
      <c r="AO259" s="313">
        <v>0</v>
      </c>
      <c r="AP259" s="313">
        <v>0</v>
      </c>
      <c r="AQ259" s="313">
        <v>0</v>
      </c>
      <c r="AR259" s="313">
        <v>0</v>
      </c>
      <c r="AS259" s="313">
        <v>0</v>
      </c>
      <c r="AT259" s="313">
        <v>0</v>
      </c>
      <c r="AX259" s="313">
        <v>0</v>
      </c>
      <c r="BB259" s="313">
        <v>0</v>
      </c>
      <c r="BC259" s="313">
        <v>0</v>
      </c>
      <c r="BD259" s="313">
        <v>0</v>
      </c>
      <c r="BE259" s="313">
        <v>0</v>
      </c>
      <c r="BF259" s="313">
        <v>0</v>
      </c>
      <c r="BH259" s="313">
        <v>0</v>
      </c>
      <c r="BL259" s="313">
        <v>0</v>
      </c>
    </row>
    <row r="260" spans="1:66">
      <c r="A260" s="333" t="s">
        <v>650</v>
      </c>
      <c r="B260" s="333">
        <v>35901.811287000004</v>
      </c>
      <c r="C260" s="333">
        <v>56044.250797000001</v>
      </c>
      <c r="D260" s="333">
        <v>65831.873303999993</v>
      </c>
      <c r="E260" s="333">
        <v>103149.583323</v>
      </c>
      <c r="F260" s="333">
        <v>155320.42319100001</v>
      </c>
      <c r="G260" s="333">
        <v>141643.309469</v>
      </c>
      <c r="H260" s="333"/>
      <c r="I260" s="333"/>
      <c r="J260" s="333">
        <v>137494.03015499999</v>
      </c>
      <c r="K260" s="333"/>
      <c r="L260" s="333"/>
      <c r="M260" s="333"/>
      <c r="N260" s="333">
        <v>61628.750723000005</v>
      </c>
      <c r="O260" s="333">
        <v>63851.302234000002</v>
      </c>
      <c r="P260" s="333">
        <v>69588.039424000002</v>
      </c>
      <c r="Q260" s="333">
        <v>75908.881228999991</v>
      </c>
      <c r="R260" s="333">
        <v>81721.477429999999</v>
      </c>
      <c r="S260" s="333">
        <v>75080.829889000001</v>
      </c>
      <c r="T260" s="333"/>
      <c r="U260" s="333"/>
      <c r="V260" s="333"/>
      <c r="W260" s="333">
        <v>65869.482711000004</v>
      </c>
      <c r="X260" s="333"/>
      <c r="Y260" s="333"/>
      <c r="Z260" s="333"/>
      <c r="AA260" s="333">
        <v>190771.98409000001</v>
      </c>
      <c r="AB260" s="333">
        <v>281173.46695999999</v>
      </c>
      <c r="AC260" s="333">
        <v>299577.32653899997</v>
      </c>
      <c r="AD260" s="333">
        <v>422909.00738800003</v>
      </c>
      <c r="AE260" s="333">
        <v>542745.69513300003</v>
      </c>
      <c r="AF260" s="333"/>
      <c r="AG260" s="333">
        <v>589742.21772299998</v>
      </c>
      <c r="AH260" s="333"/>
      <c r="AI260" s="333"/>
      <c r="AJ260" s="333"/>
      <c r="AK260" s="333">
        <v>318109.32043800002</v>
      </c>
      <c r="AL260" s="333"/>
      <c r="AM260" s="333"/>
      <c r="AN260" s="333"/>
      <c r="AO260" s="333">
        <v>80009.683111999999</v>
      </c>
      <c r="AP260" s="333">
        <v>112507.40449500001</v>
      </c>
      <c r="AQ260" s="333">
        <v>120735.31853599999</v>
      </c>
      <c r="AR260" s="333">
        <v>156486.50041900002</v>
      </c>
      <c r="AS260" s="333">
        <v>183663.06631199998</v>
      </c>
      <c r="AT260" s="333">
        <v>201369.37081700002</v>
      </c>
      <c r="AU260" s="333"/>
      <c r="AV260" s="333"/>
      <c r="AW260" s="333"/>
      <c r="AX260" s="333">
        <v>181354.11318699998</v>
      </c>
      <c r="AY260" s="333"/>
      <c r="AZ260" s="333"/>
      <c r="BA260" s="333"/>
      <c r="BB260" s="333">
        <v>21215.071511000002</v>
      </c>
      <c r="BC260" s="333">
        <v>31208.375204000004</v>
      </c>
      <c r="BD260" s="333">
        <v>27744.220358999999</v>
      </c>
      <c r="BE260" s="333">
        <v>35991.938868999998</v>
      </c>
      <c r="BF260" s="333">
        <v>45614.000670999994</v>
      </c>
      <c r="BG260" s="333"/>
      <c r="BH260" s="333">
        <v>62914.749539999997</v>
      </c>
      <c r="BI260" s="333"/>
      <c r="BJ260" s="333"/>
      <c r="BK260" s="333"/>
      <c r="BL260" s="333">
        <v>56794.245452999996</v>
      </c>
      <c r="BM260" s="333"/>
      <c r="BN260" s="333"/>
    </row>
    <row r="261" spans="1:66">
      <c r="A261" s="313" t="s">
        <v>651</v>
      </c>
      <c r="B261" s="313">
        <v>0</v>
      </c>
      <c r="C261" s="313">
        <v>0</v>
      </c>
      <c r="D261" s="313">
        <v>0</v>
      </c>
      <c r="E261" s="313">
        <v>0</v>
      </c>
      <c r="F261" s="313">
        <v>0</v>
      </c>
      <c r="G261" s="313">
        <v>0</v>
      </c>
      <c r="J261" s="313">
        <v>0</v>
      </c>
      <c r="N261" s="313">
        <v>0</v>
      </c>
      <c r="O261" s="313">
        <v>0</v>
      </c>
      <c r="P261" s="313">
        <v>0</v>
      </c>
      <c r="Q261" s="313">
        <v>0</v>
      </c>
      <c r="R261" s="313">
        <v>0</v>
      </c>
      <c r="S261" s="313">
        <v>0</v>
      </c>
      <c r="W261" s="313">
        <v>0</v>
      </c>
      <c r="AA261" s="313">
        <v>0</v>
      </c>
      <c r="AB261" s="313">
        <v>0</v>
      </c>
      <c r="AC261" s="313">
        <v>0</v>
      </c>
      <c r="AD261" s="313">
        <v>0</v>
      </c>
      <c r="AE261" s="313">
        <v>0</v>
      </c>
      <c r="AG261" s="313">
        <v>0</v>
      </c>
      <c r="AK261" s="313">
        <v>0</v>
      </c>
      <c r="AO261" s="313">
        <v>0</v>
      </c>
      <c r="AP261" s="313">
        <v>0</v>
      </c>
      <c r="AQ261" s="313">
        <v>0</v>
      </c>
      <c r="AR261" s="313">
        <v>0</v>
      </c>
      <c r="AS261" s="313">
        <v>0</v>
      </c>
      <c r="AT261" s="313">
        <v>0</v>
      </c>
      <c r="AX261" s="313">
        <v>0</v>
      </c>
      <c r="BB261" s="313">
        <v>0</v>
      </c>
      <c r="BC261" s="313">
        <v>0</v>
      </c>
      <c r="BD261" s="313">
        <v>0</v>
      </c>
      <c r="BE261" s="313">
        <v>0</v>
      </c>
      <c r="BF261" s="313">
        <v>0</v>
      </c>
      <c r="BH261" s="313">
        <v>0</v>
      </c>
      <c r="BL261" s="313">
        <v>0</v>
      </c>
    </row>
    <row r="262" spans="1:66">
      <c r="A262" s="313" t="s">
        <v>652</v>
      </c>
      <c r="B262" s="313">
        <v>0</v>
      </c>
      <c r="C262" s="313">
        <v>0</v>
      </c>
      <c r="D262" s="313">
        <v>0</v>
      </c>
      <c r="E262" s="313">
        <v>0</v>
      </c>
      <c r="F262" s="313">
        <v>0</v>
      </c>
      <c r="G262" s="313">
        <v>0</v>
      </c>
      <c r="J262" s="313">
        <v>0</v>
      </c>
      <c r="N262" s="313">
        <v>0</v>
      </c>
      <c r="O262" s="313">
        <v>0</v>
      </c>
      <c r="P262" s="313">
        <v>0</v>
      </c>
      <c r="Q262" s="313">
        <v>0</v>
      </c>
      <c r="R262" s="313">
        <v>0</v>
      </c>
      <c r="S262" s="313">
        <v>0</v>
      </c>
      <c r="W262" s="313">
        <v>0</v>
      </c>
      <c r="AA262" s="313">
        <v>0</v>
      </c>
      <c r="AB262" s="313">
        <v>0</v>
      </c>
      <c r="AC262" s="313">
        <v>0</v>
      </c>
      <c r="AD262" s="313">
        <v>0</v>
      </c>
      <c r="AE262" s="313">
        <v>0</v>
      </c>
      <c r="AG262" s="313">
        <v>0</v>
      </c>
      <c r="AK262" s="313">
        <v>0</v>
      </c>
      <c r="AO262" s="313">
        <v>0</v>
      </c>
      <c r="AP262" s="313">
        <v>0</v>
      </c>
      <c r="AQ262" s="313">
        <v>0</v>
      </c>
      <c r="AR262" s="313">
        <v>0</v>
      </c>
      <c r="AS262" s="313">
        <v>0</v>
      </c>
      <c r="AT262" s="313">
        <v>0</v>
      </c>
      <c r="AX262" s="313">
        <v>0</v>
      </c>
      <c r="BB262" s="313">
        <v>0</v>
      </c>
      <c r="BC262" s="313">
        <v>0</v>
      </c>
      <c r="BD262" s="313">
        <v>0</v>
      </c>
      <c r="BE262" s="313">
        <v>0</v>
      </c>
      <c r="BF262" s="313">
        <v>0</v>
      </c>
      <c r="BH262" s="313">
        <v>0</v>
      </c>
      <c r="BL262" s="313">
        <v>0</v>
      </c>
    </row>
    <row r="263" spans="1:66">
      <c r="A263" s="333" t="s">
        <v>653</v>
      </c>
      <c r="B263" s="333">
        <v>3511.2190060000003</v>
      </c>
      <c r="C263" s="333">
        <v>11470.708779999999</v>
      </c>
      <c r="D263" s="333">
        <v>-323.517877</v>
      </c>
      <c r="E263" s="333">
        <v>-1829.9281460000002</v>
      </c>
      <c r="F263" s="333">
        <v>9365.1589129999993</v>
      </c>
      <c r="G263" s="333">
        <v>25828.114416</v>
      </c>
      <c r="H263" s="333"/>
      <c r="I263" s="333"/>
      <c r="J263" s="333">
        <v>-34592.057854999999</v>
      </c>
      <c r="K263" s="333"/>
      <c r="L263" s="333"/>
      <c r="M263" s="333"/>
      <c r="N263" s="333">
        <v>301.36263600000001</v>
      </c>
      <c r="O263" s="333">
        <v>8209.5061540000006</v>
      </c>
      <c r="P263" s="333">
        <v>-1941.4441190000002</v>
      </c>
      <c r="Q263" s="333">
        <v>8841.5838079999994</v>
      </c>
      <c r="R263" s="333">
        <v>8614.632963</v>
      </c>
      <c r="S263" s="333">
        <v>10326.998039</v>
      </c>
      <c r="T263" s="333"/>
      <c r="U263" s="333"/>
      <c r="V263" s="333"/>
      <c r="W263" s="333">
        <v>-14598.566719999999</v>
      </c>
      <c r="X263" s="333"/>
      <c r="Y263" s="333"/>
      <c r="Z263" s="333"/>
      <c r="AA263" s="333">
        <v>-6705.9306390000002</v>
      </c>
      <c r="AB263" s="333">
        <v>-21257.427033</v>
      </c>
      <c r="AC263" s="333">
        <v>7709.4475469999998</v>
      </c>
      <c r="AD263" s="333">
        <v>-9400.2279209999997</v>
      </c>
      <c r="AE263" s="333">
        <v>-36248.306560000005</v>
      </c>
      <c r="AF263" s="333"/>
      <c r="AG263" s="333">
        <v>2396.6595109999998</v>
      </c>
      <c r="AH263" s="333"/>
      <c r="AI263" s="333"/>
      <c r="AJ263" s="333"/>
      <c r="AK263" s="333">
        <v>71623.794255999994</v>
      </c>
      <c r="AL263" s="333"/>
      <c r="AM263" s="333"/>
      <c r="AN263" s="333"/>
      <c r="AO263" s="333">
        <v>8838.8704660000003</v>
      </c>
      <c r="AP263" s="333">
        <v>9022.6088720000007</v>
      </c>
      <c r="AQ263" s="333">
        <v>21904.881179</v>
      </c>
      <c r="AR263" s="333">
        <v>23924.928662000002</v>
      </c>
      <c r="AS263" s="333">
        <v>33838.635345999995</v>
      </c>
      <c r="AT263" s="333">
        <v>43417.367361000004</v>
      </c>
      <c r="AU263" s="333"/>
      <c r="AV263" s="333"/>
      <c r="AW263" s="333"/>
      <c r="AX263" s="333">
        <v>-21958.643246</v>
      </c>
      <c r="AY263" s="333"/>
      <c r="AZ263" s="333"/>
      <c r="BA263" s="333"/>
      <c r="BB263" s="333">
        <v>6557.5087939999994</v>
      </c>
      <c r="BC263" s="333">
        <v>14739.125757</v>
      </c>
      <c r="BD263" s="333">
        <v>10916.853893000001</v>
      </c>
      <c r="BE263" s="333">
        <v>12665.557693000001</v>
      </c>
      <c r="BF263" s="333">
        <v>8758.7633510000014</v>
      </c>
      <c r="BG263" s="333"/>
      <c r="BH263" s="333">
        <v>12341.313454000001</v>
      </c>
      <c r="BI263" s="333"/>
      <c r="BJ263" s="333"/>
      <c r="BK263" s="333"/>
      <c r="BL263" s="333">
        <v>3826.0921880000001</v>
      </c>
      <c r="BM263" s="333"/>
      <c r="BN263" s="333"/>
    </row>
    <row r="264" spans="1:66">
      <c r="A264" s="333" t="s">
        <v>654</v>
      </c>
      <c r="B264" s="333"/>
      <c r="C264" s="333"/>
      <c r="D264" s="333"/>
      <c r="E264" s="333"/>
      <c r="F264" s="333"/>
      <c r="G264" s="333"/>
      <c r="H264" s="333"/>
      <c r="I264" s="333"/>
      <c r="J264" s="333"/>
      <c r="K264" s="333"/>
      <c r="L264" s="333"/>
      <c r="M264" s="333"/>
      <c r="N264" s="333"/>
      <c r="O264" s="333"/>
      <c r="P264" s="333"/>
      <c r="Q264" s="333"/>
      <c r="R264" s="333"/>
      <c r="S264" s="333"/>
      <c r="T264" s="333"/>
      <c r="U264" s="333"/>
      <c r="V264" s="333"/>
      <c r="W264" s="333"/>
      <c r="X264" s="333"/>
      <c r="Y264" s="333"/>
      <c r="Z264" s="333"/>
      <c r="AA264" s="333"/>
      <c r="AB264" s="333"/>
      <c r="AC264" s="333"/>
      <c r="AD264" s="333"/>
      <c r="AE264" s="333"/>
      <c r="AF264" s="333"/>
      <c r="AG264" s="333"/>
      <c r="AH264" s="333"/>
      <c r="AI264" s="333"/>
      <c r="AJ264" s="333"/>
      <c r="AK264" s="333"/>
      <c r="AL264" s="333"/>
      <c r="AM264" s="333"/>
      <c r="AN264" s="333"/>
      <c r="AO264" s="333"/>
      <c r="AP264" s="333"/>
      <c r="AQ264" s="333"/>
      <c r="AR264" s="333"/>
      <c r="AS264" s="333"/>
      <c r="AT264" s="333"/>
      <c r="AU264" s="333"/>
      <c r="AV264" s="333"/>
      <c r="AW264" s="333"/>
      <c r="AX264" s="333"/>
      <c r="AY264" s="333"/>
      <c r="AZ264" s="333"/>
      <c r="BA264" s="333"/>
      <c r="BB264" s="333"/>
      <c r="BC264" s="333"/>
      <c r="BD264" s="333"/>
      <c r="BE264" s="333"/>
      <c r="BF264" s="333"/>
      <c r="BG264" s="333"/>
      <c r="BH264" s="333"/>
      <c r="BI264" s="333"/>
      <c r="BJ264" s="333"/>
      <c r="BK264" s="333"/>
      <c r="BL264" s="333"/>
      <c r="BM264" s="333"/>
      <c r="BN264" s="333"/>
    </row>
    <row r="265" spans="1:66">
      <c r="A265" s="313" t="s">
        <v>655</v>
      </c>
      <c r="B265" s="313">
        <v>0</v>
      </c>
      <c r="C265" s="313">
        <v>0</v>
      </c>
      <c r="D265" s="313">
        <v>0</v>
      </c>
      <c r="E265" s="313">
        <v>0</v>
      </c>
      <c r="F265" s="313">
        <v>0</v>
      </c>
      <c r="G265" s="313">
        <v>0</v>
      </c>
      <c r="J265" s="313">
        <v>0</v>
      </c>
      <c r="N265" s="313">
        <v>0</v>
      </c>
      <c r="O265" s="313">
        <v>0</v>
      </c>
      <c r="P265" s="313">
        <v>0</v>
      </c>
      <c r="Q265" s="313">
        <v>12500</v>
      </c>
      <c r="R265" s="313">
        <v>5791.37788</v>
      </c>
      <c r="S265" s="313">
        <v>250</v>
      </c>
      <c r="W265" s="313">
        <v>50</v>
      </c>
      <c r="AA265" s="313">
        <v>0</v>
      </c>
      <c r="AB265" s="313">
        <v>3600</v>
      </c>
      <c r="AC265" s="313">
        <v>68</v>
      </c>
      <c r="AD265" s="313">
        <v>0</v>
      </c>
      <c r="AE265" s="313">
        <v>103.40916999999999</v>
      </c>
      <c r="AG265" s="313">
        <v>259.12642999999997</v>
      </c>
      <c r="AK265" s="313">
        <v>167.535</v>
      </c>
      <c r="AO265" s="313">
        <v>0</v>
      </c>
      <c r="AP265" s="313">
        <v>309800</v>
      </c>
      <c r="AQ265" s="313">
        <v>411800</v>
      </c>
      <c r="AR265" s="313">
        <v>224470.86178000001</v>
      </c>
      <c r="AS265" s="313">
        <v>104853</v>
      </c>
      <c r="AT265" s="313">
        <v>29695</v>
      </c>
      <c r="AX265" s="313">
        <v>39253.208844000001</v>
      </c>
      <c r="BB265" s="313">
        <v>0</v>
      </c>
      <c r="BC265" s="313">
        <v>1410</v>
      </c>
      <c r="BD265" s="313">
        <v>0</v>
      </c>
      <c r="BE265" s="313">
        <v>0</v>
      </c>
      <c r="BF265" s="313">
        <v>0</v>
      </c>
      <c r="BH265" s="313">
        <v>0</v>
      </c>
      <c r="BL265" s="313">
        <v>0</v>
      </c>
    </row>
    <row r="266" spans="1:66">
      <c r="A266" s="313" t="s">
        <v>656</v>
      </c>
      <c r="B266" s="313">
        <v>0</v>
      </c>
      <c r="C266" s="313">
        <v>0</v>
      </c>
      <c r="D266" s="313">
        <v>0</v>
      </c>
      <c r="E266" s="313">
        <v>0</v>
      </c>
      <c r="F266" s="313">
        <v>28.554114000000002</v>
      </c>
      <c r="G266" s="313">
        <v>0</v>
      </c>
      <c r="J266" s="313">
        <v>91.978375999999997</v>
      </c>
      <c r="N266" s="313">
        <v>27.748857000000001</v>
      </c>
      <c r="O266" s="313">
        <v>17.026429</v>
      </c>
      <c r="P266" s="313">
        <v>138.27723700000001</v>
      </c>
      <c r="Q266" s="313">
        <v>184.75971999999999</v>
      </c>
      <c r="R266" s="313">
        <v>44.145288999999998</v>
      </c>
      <c r="S266" s="313">
        <v>0</v>
      </c>
      <c r="W266" s="313">
        <v>0</v>
      </c>
      <c r="AA266" s="313">
        <v>0</v>
      </c>
      <c r="AB266" s="313">
        <v>0</v>
      </c>
      <c r="AC266" s="313">
        <v>657.45883900000001</v>
      </c>
      <c r="AD266" s="313">
        <v>1.329</v>
      </c>
      <c r="AE266" s="313">
        <v>40.797400000000003</v>
      </c>
      <c r="AG266" s="313">
        <v>0</v>
      </c>
      <c r="AK266" s="313">
        <v>117.778733</v>
      </c>
      <c r="AO266" s="313">
        <v>9.3671240000000004</v>
      </c>
      <c r="AP266" s="313">
        <v>2009.8702289999999</v>
      </c>
      <c r="AQ266" s="313">
        <v>3616.6695610000002</v>
      </c>
      <c r="AR266" s="313">
        <v>2359.609179</v>
      </c>
      <c r="AS266" s="313">
        <v>535.09172000000001</v>
      </c>
      <c r="AT266" s="313">
        <v>145.50662500000001</v>
      </c>
      <c r="AX266" s="313">
        <v>168.35171100000002</v>
      </c>
      <c r="BB266" s="313">
        <v>0</v>
      </c>
      <c r="BC266" s="313">
        <v>21.522170000000003</v>
      </c>
      <c r="BD266" s="313">
        <v>0</v>
      </c>
      <c r="BE266" s="313">
        <v>0</v>
      </c>
      <c r="BF266" s="313">
        <v>0</v>
      </c>
      <c r="BH266" s="313">
        <v>0</v>
      </c>
      <c r="BL266" s="313">
        <v>205.50163899999998</v>
      </c>
    </row>
    <row r="267" spans="1:66">
      <c r="A267" s="313" t="s">
        <v>657</v>
      </c>
      <c r="B267" s="313">
        <v>0</v>
      </c>
      <c r="C267" s="313">
        <v>0</v>
      </c>
      <c r="D267" s="313">
        <v>2.6814</v>
      </c>
      <c r="E267" s="313">
        <v>0</v>
      </c>
      <c r="F267" s="313">
        <v>10.911985000000001</v>
      </c>
      <c r="G267" s="313">
        <v>20.723324999999999</v>
      </c>
      <c r="J267" s="313">
        <v>3.0253290000000002</v>
      </c>
      <c r="N267" s="313">
        <v>0.05</v>
      </c>
      <c r="O267" s="313">
        <v>0.224</v>
      </c>
      <c r="P267" s="313">
        <v>0.06</v>
      </c>
      <c r="Q267" s="313">
        <v>1.4940009999999999</v>
      </c>
      <c r="R267" s="313">
        <v>7.0795999999999998E-2</v>
      </c>
      <c r="S267" s="313">
        <v>0.28548699999999999</v>
      </c>
      <c r="W267" s="313">
        <v>0.35</v>
      </c>
      <c r="AA267" s="313">
        <v>0.91</v>
      </c>
      <c r="AB267" s="313">
        <v>21.04</v>
      </c>
      <c r="AC267" s="313">
        <v>2.4192019999999999</v>
      </c>
      <c r="AD267" s="313">
        <v>4.4966999999999997</v>
      </c>
      <c r="AE267" s="313">
        <v>20.495062000000001</v>
      </c>
      <c r="AG267" s="313">
        <v>8.8831199999999999</v>
      </c>
      <c r="AK267" s="313">
        <v>3.0060530000000001</v>
      </c>
      <c r="AO267" s="313">
        <v>2.1589999999999998</v>
      </c>
      <c r="AP267" s="313">
        <v>1.0535000000000001</v>
      </c>
      <c r="AQ267" s="313">
        <v>46.521759000000003</v>
      </c>
      <c r="AR267" s="313">
        <v>64.385099999999994</v>
      </c>
      <c r="AS267" s="313">
        <v>24.7699</v>
      </c>
      <c r="AT267" s="313">
        <v>90.373549999999994</v>
      </c>
      <c r="AX267" s="313">
        <v>12.4794</v>
      </c>
      <c r="BB267" s="313">
        <v>2.9</v>
      </c>
      <c r="BC267" s="313">
        <v>1.617</v>
      </c>
      <c r="BD267" s="313">
        <v>0.31180000000000002</v>
      </c>
      <c r="BE267" s="313">
        <v>0.65</v>
      </c>
      <c r="BF267" s="313">
        <v>0.19500000000000001</v>
      </c>
      <c r="BH267" s="313">
        <v>0.59320200000000001</v>
      </c>
      <c r="BL267" s="313">
        <v>19.73</v>
      </c>
    </row>
    <row r="268" spans="1:66">
      <c r="A268" s="313" t="s">
        <v>658</v>
      </c>
      <c r="B268" s="313">
        <v>0</v>
      </c>
      <c r="C268" s="313">
        <v>0</v>
      </c>
      <c r="D268" s="313">
        <v>0</v>
      </c>
      <c r="E268" s="313">
        <v>0</v>
      </c>
      <c r="F268" s="313">
        <v>0</v>
      </c>
      <c r="G268" s="313">
        <v>0</v>
      </c>
      <c r="J268" s="313">
        <v>0</v>
      </c>
      <c r="N268" s="313">
        <v>0</v>
      </c>
      <c r="O268" s="313">
        <v>0</v>
      </c>
      <c r="P268" s="313">
        <v>0</v>
      </c>
      <c r="Q268" s="313">
        <v>47.936985999999997</v>
      </c>
      <c r="R268" s="313">
        <v>0</v>
      </c>
      <c r="S268" s="313">
        <v>0</v>
      </c>
      <c r="W268" s="313">
        <v>0</v>
      </c>
      <c r="AA268" s="313">
        <v>0</v>
      </c>
      <c r="AB268" s="313">
        <v>0</v>
      </c>
      <c r="AC268" s="313">
        <v>0</v>
      </c>
      <c r="AD268" s="313">
        <v>0</v>
      </c>
      <c r="AE268" s="313">
        <v>295.71817799999997</v>
      </c>
      <c r="AG268" s="313">
        <v>0</v>
      </c>
      <c r="AK268" s="313">
        <v>0</v>
      </c>
      <c r="AO268" s="313">
        <v>0</v>
      </c>
      <c r="AP268" s="313">
        <v>0</v>
      </c>
      <c r="AQ268" s="313">
        <v>0</v>
      </c>
      <c r="AR268" s="313">
        <v>0</v>
      </c>
      <c r="AS268" s="313">
        <v>0</v>
      </c>
      <c r="AT268" s="313">
        <v>0</v>
      </c>
      <c r="AX268" s="313">
        <v>0</v>
      </c>
      <c r="BB268" s="313">
        <v>86.813186000000002</v>
      </c>
      <c r="BC268" s="313">
        <v>0</v>
      </c>
      <c r="BD268" s="313">
        <v>0</v>
      </c>
      <c r="BE268" s="313">
        <v>0</v>
      </c>
      <c r="BF268" s="313">
        <v>0</v>
      </c>
      <c r="BH268" s="313">
        <v>0</v>
      </c>
      <c r="BL268" s="313">
        <v>0</v>
      </c>
    </row>
    <row r="269" spans="1:66">
      <c r="A269" s="313" t="s">
        <v>659</v>
      </c>
      <c r="B269" s="313">
        <v>34.475807000000003</v>
      </c>
      <c r="C269" s="313">
        <v>233.54873599999999</v>
      </c>
      <c r="D269" s="313">
        <v>794.267742</v>
      </c>
      <c r="E269" s="313">
        <v>626.70646599999998</v>
      </c>
      <c r="F269" s="313">
        <v>2430.1914829999996</v>
      </c>
      <c r="G269" s="313">
        <v>1896.1152329999998</v>
      </c>
      <c r="J269" s="313">
        <v>2869.7555079999997</v>
      </c>
      <c r="N269" s="313">
        <v>0</v>
      </c>
      <c r="O269" s="313">
        <v>0</v>
      </c>
      <c r="P269" s="313">
        <v>0</v>
      </c>
      <c r="Q269" s="313">
        <v>0</v>
      </c>
      <c r="R269" s="313">
        <v>0</v>
      </c>
      <c r="S269" s="313">
        <v>0</v>
      </c>
      <c r="W269" s="313">
        <v>0</v>
      </c>
      <c r="AA269" s="313">
        <v>0</v>
      </c>
      <c r="AB269" s="313">
        <v>0</v>
      </c>
      <c r="AC269" s="313">
        <v>58350</v>
      </c>
      <c r="AD269" s="313">
        <v>0</v>
      </c>
      <c r="AE269" s="313">
        <v>0</v>
      </c>
      <c r="AG269" s="313">
        <v>0</v>
      </c>
      <c r="AK269" s="313">
        <v>2850</v>
      </c>
      <c r="AO269" s="313">
        <v>0</v>
      </c>
      <c r="AP269" s="313">
        <v>0</v>
      </c>
      <c r="AQ269" s="313">
        <v>85.166589000000002</v>
      </c>
      <c r="AR269" s="313">
        <v>206.69620600000002</v>
      </c>
      <c r="AS269" s="313">
        <v>142.072529</v>
      </c>
      <c r="AT269" s="313">
        <v>717.2</v>
      </c>
      <c r="AX269" s="313">
        <v>0</v>
      </c>
      <c r="BB269" s="313">
        <v>0</v>
      </c>
      <c r="BC269" s="313">
        <v>0</v>
      </c>
      <c r="BD269" s="313">
        <v>0</v>
      </c>
      <c r="BE269" s="313">
        <v>0</v>
      </c>
      <c r="BF269" s="313">
        <v>0</v>
      </c>
      <c r="BH269" s="313">
        <v>0</v>
      </c>
      <c r="BL269" s="313">
        <v>0</v>
      </c>
    </row>
    <row r="270" spans="1:66">
      <c r="A270" s="313" t="s">
        <v>660</v>
      </c>
      <c r="B270" s="313">
        <v>0</v>
      </c>
      <c r="C270" s="313">
        <v>0</v>
      </c>
      <c r="D270" s="313">
        <v>0</v>
      </c>
      <c r="E270" s="313">
        <v>0</v>
      </c>
      <c r="F270" s="313">
        <v>0</v>
      </c>
      <c r="G270" s="313">
        <v>0</v>
      </c>
      <c r="J270" s="313">
        <v>0</v>
      </c>
      <c r="N270" s="313">
        <v>0</v>
      </c>
      <c r="O270" s="313">
        <v>0</v>
      </c>
      <c r="P270" s="313">
        <v>0</v>
      </c>
      <c r="Q270" s="313">
        <v>0</v>
      </c>
      <c r="R270" s="313">
        <v>0</v>
      </c>
      <c r="S270" s="313">
        <v>0</v>
      </c>
      <c r="W270" s="313">
        <v>0</v>
      </c>
      <c r="AA270" s="313">
        <v>0</v>
      </c>
      <c r="AB270" s="313">
        <v>0</v>
      </c>
      <c r="AC270" s="313">
        <v>0</v>
      </c>
      <c r="AD270" s="313">
        <v>0</v>
      </c>
      <c r="AE270" s="313">
        <v>0</v>
      </c>
      <c r="AG270" s="313">
        <v>0</v>
      </c>
      <c r="AK270" s="313">
        <v>0</v>
      </c>
      <c r="AO270" s="313">
        <v>0</v>
      </c>
      <c r="AP270" s="313">
        <v>0</v>
      </c>
      <c r="AQ270" s="313">
        <v>0</v>
      </c>
      <c r="AR270" s="313">
        <v>0</v>
      </c>
      <c r="AS270" s="313">
        <v>0</v>
      </c>
      <c r="AT270" s="313">
        <v>0</v>
      </c>
      <c r="AX270" s="313">
        <v>0</v>
      </c>
      <c r="BB270" s="313">
        <v>0</v>
      </c>
      <c r="BC270" s="313">
        <v>0</v>
      </c>
      <c r="BD270" s="313">
        <v>0</v>
      </c>
      <c r="BE270" s="313">
        <v>0</v>
      </c>
      <c r="BF270" s="313">
        <v>0</v>
      </c>
      <c r="BH270" s="313">
        <v>0</v>
      </c>
      <c r="BL270" s="313">
        <v>0</v>
      </c>
    </row>
    <row r="271" spans="1:66">
      <c r="A271" s="313" t="s">
        <v>661</v>
      </c>
      <c r="B271" s="313">
        <v>0</v>
      </c>
      <c r="C271" s="313">
        <v>0</v>
      </c>
      <c r="D271" s="313">
        <v>0</v>
      </c>
      <c r="E271" s="313">
        <v>0</v>
      </c>
      <c r="F271" s="313">
        <v>0</v>
      </c>
      <c r="G271" s="313">
        <v>0</v>
      </c>
      <c r="J271" s="313">
        <v>0</v>
      </c>
      <c r="N271" s="313">
        <v>0</v>
      </c>
      <c r="O271" s="313">
        <v>0</v>
      </c>
      <c r="P271" s="313">
        <v>0</v>
      </c>
      <c r="Q271" s="313">
        <v>0</v>
      </c>
      <c r="R271" s="313">
        <v>0</v>
      </c>
      <c r="S271" s="313">
        <v>0</v>
      </c>
      <c r="W271" s="313">
        <v>0</v>
      </c>
      <c r="AA271" s="313">
        <v>0</v>
      </c>
      <c r="AB271" s="313">
        <v>0</v>
      </c>
      <c r="AC271" s="313">
        <v>0</v>
      </c>
      <c r="AD271" s="313">
        <v>0</v>
      </c>
      <c r="AE271" s="313">
        <v>0</v>
      </c>
      <c r="AG271" s="313">
        <v>0</v>
      </c>
      <c r="AK271" s="313">
        <v>0</v>
      </c>
      <c r="AO271" s="313">
        <v>0</v>
      </c>
      <c r="AP271" s="313">
        <v>0</v>
      </c>
      <c r="AQ271" s="313">
        <v>0</v>
      </c>
      <c r="AR271" s="313">
        <v>0</v>
      </c>
      <c r="AS271" s="313">
        <v>0</v>
      </c>
      <c r="AT271" s="313">
        <v>0</v>
      </c>
      <c r="AX271" s="313">
        <v>0</v>
      </c>
      <c r="BB271" s="313">
        <v>0</v>
      </c>
      <c r="BC271" s="313">
        <v>0</v>
      </c>
      <c r="BD271" s="313">
        <v>0</v>
      </c>
      <c r="BE271" s="313">
        <v>0</v>
      </c>
      <c r="BF271" s="313">
        <v>0</v>
      </c>
      <c r="BH271" s="313">
        <v>0</v>
      </c>
      <c r="BL271" s="313">
        <v>0</v>
      </c>
    </row>
    <row r="272" spans="1:66">
      <c r="A272" s="333" t="s">
        <v>662</v>
      </c>
      <c r="B272" s="333">
        <v>34.475807000000003</v>
      </c>
      <c r="C272" s="333">
        <v>233.54873599999999</v>
      </c>
      <c r="D272" s="333">
        <v>796.94914199999994</v>
      </c>
      <c r="E272" s="333">
        <v>626.70646599999998</v>
      </c>
      <c r="F272" s="333">
        <v>2469.6575819999998</v>
      </c>
      <c r="G272" s="333">
        <v>1916.8385579999999</v>
      </c>
      <c r="H272" s="333"/>
      <c r="I272" s="333"/>
      <c r="J272" s="333">
        <v>2964.7592129999998</v>
      </c>
      <c r="K272" s="333"/>
      <c r="L272" s="333"/>
      <c r="M272" s="333"/>
      <c r="N272" s="333">
        <v>27.798857000000002</v>
      </c>
      <c r="O272" s="333">
        <v>17.250429</v>
      </c>
      <c r="P272" s="333">
        <v>138.33723700000002</v>
      </c>
      <c r="Q272" s="333">
        <v>12734.190707</v>
      </c>
      <c r="R272" s="333">
        <v>5835.593965</v>
      </c>
      <c r="S272" s="333">
        <v>250.28548700000002</v>
      </c>
      <c r="T272" s="333"/>
      <c r="U272" s="333"/>
      <c r="V272" s="333"/>
      <c r="W272" s="333">
        <v>50.35</v>
      </c>
      <c r="X272" s="333"/>
      <c r="Y272" s="333"/>
      <c r="Z272" s="333"/>
      <c r="AA272" s="333">
        <v>0.91</v>
      </c>
      <c r="AB272" s="333">
        <v>3621.04</v>
      </c>
      <c r="AC272" s="333">
        <v>59077.878040999996</v>
      </c>
      <c r="AD272" s="333">
        <v>5.8257000000000003</v>
      </c>
      <c r="AE272" s="333">
        <v>460.41980999999998</v>
      </c>
      <c r="AF272" s="333"/>
      <c r="AG272" s="333">
        <v>268.00954999999999</v>
      </c>
      <c r="AH272" s="333"/>
      <c r="AI272" s="333"/>
      <c r="AJ272" s="333"/>
      <c r="AK272" s="333">
        <v>3138.319786</v>
      </c>
      <c r="AL272" s="333"/>
      <c r="AM272" s="333"/>
      <c r="AN272" s="333"/>
      <c r="AO272" s="333">
        <v>11.526124000000001</v>
      </c>
      <c r="AP272" s="333">
        <v>311810.92372899997</v>
      </c>
      <c r="AQ272" s="333">
        <v>415548.35790900001</v>
      </c>
      <c r="AR272" s="333">
        <v>227101.55226500001</v>
      </c>
      <c r="AS272" s="333">
        <v>105554.93414900001</v>
      </c>
      <c r="AT272" s="333">
        <v>30648.080174999999</v>
      </c>
      <c r="AU272" s="333"/>
      <c r="AV272" s="333"/>
      <c r="AW272" s="333"/>
      <c r="AX272" s="333">
        <v>39434.039955</v>
      </c>
      <c r="AY272" s="333"/>
      <c r="AZ272" s="333"/>
      <c r="BA272" s="333"/>
      <c r="BB272" s="333">
        <v>89.713185999999993</v>
      </c>
      <c r="BC272" s="333">
        <v>1433.1391699999999</v>
      </c>
      <c r="BD272" s="333">
        <v>0.31180000000000002</v>
      </c>
      <c r="BE272" s="333">
        <v>0.65</v>
      </c>
      <c r="BF272" s="333">
        <v>0.19500000000000001</v>
      </c>
      <c r="BG272" s="333"/>
      <c r="BH272" s="333">
        <v>0.59320200000000001</v>
      </c>
      <c r="BI272" s="333"/>
      <c r="BJ272" s="333"/>
      <c r="BK272" s="333"/>
      <c r="BL272" s="333">
        <v>225.231639</v>
      </c>
      <c r="BM272" s="333"/>
      <c r="BN272" s="333"/>
    </row>
    <row r="273" spans="1:66">
      <c r="A273" s="313" t="s">
        <v>663</v>
      </c>
      <c r="B273" s="313">
        <v>1729.2911329999997</v>
      </c>
      <c r="C273" s="313">
        <v>1488.497957</v>
      </c>
      <c r="D273" s="313">
        <v>4314.9333229999993</v>
      </c>
      <c r="E273" s="313">
        <v>4639.7496160000001</v>
      </c>
      <c r="F273" s="313">
        <v>9106.7862069999992</v>
      </c>
      <c r="G273" s="313">
        <v>10514.240097</v>
      </c>
      <c r="J273" s="313">
        <v>8024.2512180000003</v>
      </c>
      <c r="N273" s="313">
        <v>654.14566500000001</v>
      </c>
      <c r="O273" s="313">
        <v>414.14437299999997</v>
      </c>
      <c r="P273" s="313">
        <v>3521.2126939999998</v>
      </c>
      <c r="Q273" s="313">
        <v>7506.7656779999998</v>
      </c>
      <c r="R273" s="313">
        <v>38377.152461999998</v>
      </c>
      <c r="S273" s="313">
        <v>9008.1016490000002</v>
      </c>
      <c r="W273" s="313">
        <v>4353.0196580000002</v>
      </c>
      <c r="AA273" s="313">
        <v>10940.899572</v>
      </c>
      <c r="AB273" s="313">
        <v>24424.154796000003</v>
      </c>
      <c r="AC273" s="313">
        <v>15595.794912000001</v>
      </c>
      <c r="AD273" s="313">
        <v>15559.607849000002</v>
      </c>
      <c r="AE273" s="313">
        <v>14297.852277000002</v>
      </c>
      <c r="AG273" s="313">
        <v>15190.768252000002</v>
      </c>
      <c r="AK273" s="313">
        <v>11492.113375000001</v>
      </c>
      <c r="AO273" s="313">
        <v>12408.622783000001</v>
      </c>
      <c r="AP273" s="313">
        <v>14989.008858000001</v>
      </c>
      <c r="AQ273" s="313">
        <v>34143.560662999997</v>
      </c>
      <c r="AR273" s="313">
        <v>47739.544913999998</v>
      </c>
      <c r="AS273" s="313">
        <v>54369.246997000002</v>
      </c>
      <c r="AT273" s="313">
        <v>68360.430498000002</v>
      </c>
      <c r="AX273" s="313">
        <v>48258.855276000002</v>
      </c>
      <c r="BB273" s="313">
        <v>763.68733299999997</v>
      </c>
      <c r="BC273" s="313">
        <v>598.16749299999992</v>
      </c>
      <c r="BD273" s="313">
        <v>320.50009999999997</v>
      </c>
      <c r="BE273" s="313">
        <v>8256.0759049999997</v>
      </c>
      <c r="BF273" s="313">
        <v>1823.9240339999999</v>
      </c>
      <c r="BH273" s="313">
        <v>5355.9405420000003</v>
      </c>
      <c r="BL273" s="313">
        <v>9869.0654439999998</v>
      </c>
    </row>
    <row r="274" spans="1:66">
      <c r="A274" s="313" t="s">
        <v>664</v>
      </c>
      <c r="B274" s="313">
        <v>0</v>
      </c>
      <c r="C274" s="313">
        <v>420</v>
      </c>
      <c r="D274" s="313">
        <v>0</v>
      </c>
      <c r="E274" s="313">
        <v>2670</v>
      </c>
      <c r="F274" s="313">
        <v>14999.676919999998</v>
      </c>
      <c r="G274" s="313">
        <v>1557</v>
      </c>
      <c r="J274" s="313">
        <v>8082.6733279999999</v>
      </c>
      <c r="N274" s="313">
        <v>0</v>
      </c>
      <c r="O274" s="313">
        <v>0</v>
      </c>
      <c r="P274" s="313">
        <v>7100</v>
      </c>
      <c r="Q274" s="313">
        <v>8700</v>
      </c>
      <c r="R274" s="313">
        <v>5741</v>
      </c>
      <c r="S274" s="313">
        <v>5270</v>
      </c>
      <c r="W274" s="313">
        <v>150</v>
      </c>
      <c r="AA274" s="313">
        <v>3571.0858250000001</v>
      </c>
      <c r="AB274" s="313">
        <v>483.36399999999998</v>
      </c>
      <c r="AC274" s="313">
        <v>480.04256299999997</v>
      </c>
      <c r="AD274" s="313">
        <v>2211.3043079999998</v>
      </c>
      <c r="AE274" s="313">
        <v>855.76</v>
      </c>
      <c r="AG274" s="313">
        <v>12.5</v>
      </c>
      <c r="AK274" s="313">
        <v>454.22899999999998</v>
      </c>
      <c r="AO274" s="313">
        <v>11643</v>
      </c>
      <c r="AP274" s="313">
        <v>473614.99340100004</v>
      </c>
      <c r="AQ274" s="313">
        <v>347308.19795200002</v>
      </c>
      <c r="AR274" s="313">
        <v>208503.25667999999</v>
      </c>
      <c r="AS274" s="313">
        <v>114650</v>
      </c>
      <c r="AT274" s="313">
        <v>29304.67</v>
      </c>
      <c r="AX274" s="313">
        <v>63787.44</v>
      </c>
      <c r="BB274" s="313">
        <v>0</v>
      </c>
      <c r="BC274" s="313">
        <v>0</v>
      </c>
      <c r="BD274" s="313">
        <v>5960</v>
      </c>
      <c r="BE274" s="313">
        <v>1200</v>
      </c>
      <c r="BF274" s="313">
        <v>2500</v>
      </c>
      <c r="BH274" s="313">
        <v>890</v>
      </c>
      <c r="BL274" s="313">
        <v>5000</v>
      </c>
    </row>
    <row r="275" spans="1:66">
      <c r="A275" s="313" t="s">
        <v>665</v>
      </c>
      <c r="B275" s="313">
        <v>0</v>
      </c>
      <c r="C275" s="313">
        <v>0</v>
      </c>
      <c r="D275" s="313">
        <v>0</v>
      </c>
      <c r="E275" s="313">
        <v>0</v>
      </c>
      <c r="F275" s="313">
        <v>0</v>
      </c>
      <c r="G275" s="313">
        <v>0</v>
      </c>
      <c r="J275" s="313">
        <v>0</v>
      </c>
      <c r="N275" s="313">
        <v>0</v>
      </c>
      <c r="O275" s="313">
        <v>0</v>
      </c>
      <c r="P275" s="313">
        <v>0</v>
      </c>
      <c r="Q275" s="313">
        <v>0</v>
      </c>
      <c r="R275" s="313">
        <v>0</v>
      </c>
      <c r="S275" s="313">
        <v>0</v>
      </c>
      <c r="W275" s="313">
        <v>0</v>
      </c>
      <c r="AA275" s="313">
        <v>0</v>
      </c>
      <c r="AB275" s="313">
        <v>0</v>
      </c>
      <c r="AC275" s="313">
        <v>0</v>
      </c>
      <c r="AD275" s="313">
        <v>0</v>
      </c>
      <c r="AE275" s="313">
        <v>0</v>
      </c>
      <c r="AG275" s="313">
        <v>0</v>
      </c>
      <c r="AK275" s="313">
        <v>0</v>
      </c>
      <c r="AO275" s="313">
        <v>0</v>
      </c>
      <c r="AP275" s="313">
        <v>0</v>
      </c>
      <c r="AQ275" s="313">
        <v>0</v>
      </c>
      <c r="AR275" s="313">
        <v>0</v>
      </c>
      <c r="AS275" s="313">
        <v>0</v>
      </c>
      <c r="AT275" s="313">
        <v>0</v>
      </c>
      <c r="AX275" s="313">
        <v>0</v>
      </c>
      <c r="BB275" s="313">
        <v>0</v>
      </c>
      <c r="BC275" s="313">
        <v>0</v>
      </c>
      <c r="BD275" s="313">
        <v>0</v>
      </c>
      <c r="BE275" s="313">
        <v>0</v>
      </c>
      <c r="BF275" s="313">
        <v>0</v>
      </c>
      <c r="BH275" s="313">
        <v>0</v>
      </c>
      <c r="BL275" s="313">
        <v>0</v>
      </c>
    </row>
    <row r="276" spans="1:66">
      <c r="A276" s="313" t="s">
        <v>666</v>
      </c>
      <c r="B276" s="313">
        <v>0</v>
      </c>
      <c r="C276" s="313">
        <v>0</v>
      </c>
      <c r="D276" s="313">
        <v>0</v>
      </c>
      <c r="E276" s="313">
        <v>-3558.6928630000002</v>
      </c>
      <c r="F276" s="313">
        <v>0</v>
      </c>
      <c r="G276" s="313">
        <v>0</v>
      </c>
      <c r="J276" s="313">
        <v>0</v>
      </c>
      <c r="N276" s="313">
        <v>0</v>
      </c>
      <c r="O276" s="313">
        <v>0</v>
      </c>
      <c r="P276" s="313">
        <v>0</v>
      </c>
      <c r="Q276" s="313">
        <v>754.31444099999999</v>
      </c>
      <c r="R276" s="313">
        <v>0</v>
      </c>
      <c r="S276" s="313">
        <v>0</v>
      </c>
      <c r="W276" s="313">
        <v>0</v>
      </c>
      <c r="AA276" s="313">
        <v>187.41849500000001</v>
      </c>
      <c r="AB276" s="313">
        <v>0</v>
      </c>
      <c r="AC276" s="313">
        <v>9313.1835090000004</v>
      </c>
      <c r="AD276" s="313">
        <v>0</v>
      </c>
      <c r="AE276" s="313">
        <v>0</v>
      </c>
      <c r="AG276" s="313">
        <v>0</v>
      </c>
      <c r="AK276" s="313">
        <v>0</v>
      </c>
      <c r="AO276" s="313">
        <v>6082.3144810000003</v>
      </c>
      <c r="AP276" s="313">
        <v>-1963.51388</v>
      </c>
      <c r="AQ276" s="313">
        <v>0</v>
      </c>
      <c r="AR276" s="313">
        <v>2766.5133850000002</v>
      </c>
      <c r="AS276" s="313">
        <v>0</v>
      </c>
      <c r="AT276" s="313">
        <v>0</v>
      </c>
      <c r="AX276" s="313">
        <v>0</v>
      </c>
      <c r="BB276" s="313">
        <v>16126.688840999999</v>
      </c>
      <c r="BC276" s="313">
        <v>49113.533231000001</v>
      </c>
      <c r="BD276" s="313">
        <v>9504.4991000000009</v>
      </c>
      <c r="BE276" s="313">
        <v>26800.473021000002</v>
      </c>
      <c r="BF276" s="313">
        <v>9000</v>
      </c>
      <c r="BH276" s="313">
        <v>12000</v>
      </c>
      <c r="BL276" s="313">
        <v>6000</v>
      </c>
    </row>
    <row r="277" spans="1:66">
      <c r="A277" s="313" t="s">
        <v>667</v>
      </c>
      <c r="B277" s="313">
        <v>0</v>
      </c>
      <c r="C277" s="313">
        <v>0</v>
      </c>
      <c r="D277" s="313">
        <v>0</v>
      </c>
      <c r="E277" s="313">
        <v>0</v>
      </c>
      <c r="F277" s="313">
        <v>2065</v>
      </c>
      <c r="G277" s="313">
        <v>920</v>
      </c>
      <c r="J277" s="313">
        <v>130</v>
      </c>
      <c r="N277" s="313">
        <v>0</v>
      </c>
      <c r="O277" s="313">
        <v>0</v>
      </c>
      <c r="P277" s="313">
        <v>0</v>
      </c>
      <c r="Q277" s="313">
        <v>0</v>
      </c>
      <c r="R277" s="313">
        <v>0</v>
      </c>
      <c r="S277" s="313">
        <v>0</v>
      </c>
      <c r="W277" s="313">
        <v>0</v>
      </c>
      <c r="AA277" s="313">
        <v>0</v>
      </c>
      <c r="AB277" s="313">
        <v>26000</v>
      </c>
      <c r="AC277" s="313">
        <v>33452.699999999997</v>
      </c>
      <c r="AD277" s="313">
        <v>0</v>
      </c>
      <c r="AE277" s="313">
        <v>0</v>
      </c>
      <c r="AG277" s="313">
        <v>0</v>
      </c>
      <c r="AK277" s="313">
        <v>0</v>
      </c>
      <c r="AO277" s="313">
        <v>85.153458000000001</v>
      </c>
      <c r="AP277" s="313">
        <v>0</v>
      </c>
      <c r="AQ277" s="313">
        <v>0</v>
      </c>
      <c r="AR277" s="313">
        <v>1390.6950999999999</v>
      </c>
      <c r="AS277" s="313">
        <v>2.925395</v>
      </c>
      <c r="AT277" s="313">
        <v>0</v>
      </c>
      <c r="AX277" s="313">
        <v>0</v>
      </c>
      <c r="BB277" s="313">
        <v>0</v>
      </c>
      <c r="BC277" s="313">
        <v>0</v>
      </c>
      <c r="BD277" s="313">
        <v>0</v>
      </c>
      <c r="BE277" s="313">
        <v>0</v>
      </c>
      <c r="BF277" s="313">
        <v>0</v>
      </c>
      <c r="BH277" s="313">
        <v>0</v>
      </c>
      <c r="BL277" s="313">
        <v>0</v>
      </c>
    </row>
    <row r="278" spans="1:66">
      <c r="A278" s="313" t="s">
        <v>668</v>
      </c>
      <c r="B278" s="313">
        <v>0</v>
      </c>
      <c r="C278" s="313">
        <v>0</v>
      </c>
      <c r="D278" s="313">
        <v>0</v>
      </c>
      <c r="E278" s="313">
        <v>0</v>
      </c>
      <c r="F278" s="313">
        <v>0</v>
      </c>
      <c r="G278" s="313">
        <v>0</v>
      </c>
      <c r="J278" s="313">
        <v>0</v>
      </c>
      <c r="N278" s="313">
        <v>0</v>
      </c>
      <c r="O278" s="313">
        <v>0</v>
      </c>
      <c r="P278" s="313">
        <v>0</v>
      </c>
      <c r="Q278" s="313">
        <v>0</v>
      </c>
      <c r="R278" s="313">
        <v>0</v>
      </c>
      <c r="S278" s="313">
        <v>0</v>
      </c>
      <c r="W278" s="313">
        <v>0</v>
      </c>
      <c r="AA278" s="313">
        <v>0</v>
      </c>
      <c r="AB278" s="313">
        <v>0</v>
      </c>
      <c r="AC278" s="313">
        <v>0</v>
      </c>
      <c r="AD278" s="313">
        <v>0</v>
      </c>
      <c r="AE278" s="313">
        <v>0</v>
      </c>
      <c r="AG278" s="313">
        <v>0</v>
      </c>
      <c r="AK278" s="313">
        <v>0</v>
      </c>
      <c r="AO278" s="313">
        <v>0</v>
      </c>
      <c r="AP278" s="313">
        <v>0</v>
      </c>
      <c r="AQ278" s="313">
        <v>0</v>
      </c>
      <c r="AR278" s="313">
        <v>0</v>
      </c>
      <c r="AS278" s="313">
        <v>0</v>
      </c>
      <c r="AT278" s="313">
        <v>0</v>
      </c>
      <c r="AX278" s="313">
        <v>0</v>
      </c>
      <c r="BB278" s="313">
        <v>0</v>
      </c>
      <c r="BC278" s="313">
        <v>0</v>
      </c>
      <c r="BD278" s="313">
        <v>0</v>
      </c>
      <c r="BE278" s="313">
        <v>0</v>
      </c>
      <c r="BF278" s="313">
        <v>0</v>
      </c>
      <c r="BH278" s="313">
        <v>0</v>
      </c>
      <c r="BL278" s="313">
        <v>0</v>
      </c>
    </row>
    <row r="279" spans="1:66">
      <c r="A279" s="313" t="s">
        <v>669</v>
      </c>
      <c r="B279" s="313">
        <v>0</v>
      </c>
      <c r="C279" s="313">
        <v>0</v>
      </c>
      <c r="D279" s="313">
        <v>0</v>
      </c>
      <c r="E279" s="313">
        <v>0</v>
      </c>
      <c r="F279" s="313">
        <v>0</v>
      </c>
      <c r="G279" s="313">
        <v>0</v>
      </c>
      <c r="J279" s="313">
        <v>0</v>
      </c>
      <c r="N279" s="313">
        <v>0</v>
      </c>
      <c r="O279" s="313">
        <v>0</v>
      </c>
      <c r="P279" s="313">
        <v>0</v>
      </c>
      <c r="Q279" s="313">
        <v>0</v>
      </c>
      <c r="R279" s="313">
        <v>0</v>
      </c>
      <c r="S279" s="313">
        <v>0</v>
      </c>
      <c r="W279" s="313">
        <v>0</v>
      </c>
      <c r="AA279" s="313">
        <v>0</v>
      </c>
      <c r="AB279" s="313">
        <v>0</v>
      </c>
      <c r="AC279" s="313">
        <v>0</v>
      </c>
      <c r="AD279" s="313">
        <v>0</v>
      </c>
      <c r="AE279" s="313">
        <v>0</v>
      </c>
      <c r="AG279" s="313">
        <v>0</v>
      </c>
      <c r="AK279" s="313">
        <v>0</v>
      </c>
      <c r="AO279" s="313">
        <v>0</v>
      </c>
      <c r="AP279" s="313">
        <v>0</v>
      </c>
      <c r="AQ279" s="313">
        <v>0</v>
      </c>
      <c r="AR279" s="313">
        <v>0</v>
      </c>
      <c r="AS279" s="313">
        <v>0</v>
      </c>
      <c r="AT279" s="313">
        <v>0</v>
      </c>
      <c r="AX279" s="313">
        <v>0</v>
      </c>
      <c r="BB279" s="313">
        <v>0</v>
      </c>
      <c r="BC279" s="313">
        <v>0</v>
      </c>
      <c r="BD279" s="313">
        <v>0</v>
      </c>
      <c r="BE279" s="313">
        <v>0</v>
      </c>
      <c r="BF279" s="313">
        <v>0</v>
      </c>
      <c r="BH279" s="313">
        <v>0</v>
      </c>
      <c r="BL279" s="313">
        <v>0</v>
      </c>
    </row>
    <row r="280" spans="1:66">
      <c r="A280" s="333" t="s">
        <v>670</v>
      </c>
      <c r="B280" s="333">
        <v>1729.2911329999997</v>
      </c>
      <c r="C280" s="333">
        <v>1908.497957</v>
      </c>
      <c r="D280" s="333">
        <v>4314.9333229999993</v>
      </c>
      <c r="E280" s="333">
        <v>3751.0567530000003</v>
      </c>
      <c r="F280" s="333">
        <v>26171.463127000003</v>
      </c>
      <c r="G280" s="333">
        <v>12991.240097</v>
      </c>
      <c r="H280" s="333"/>
      <c r="I280" s="333"/>
      <c r="J280" s="333">
        <v>16236.924546</v>
      </c>
      <c r="K280" s="333"/>
      <c r="L280" s="333"/>
      <c r="M280" s="333"/>
      <c r="N280" s="333">
        <v>654.14566500000001</v>
      </c>
      <c r="O280" s="333">
        <v>414.14437299999997</v>
      </c>
      <c r="P280" s="333">
        <v>10621.212694</v>
      </c>
      <c r="Q280" s="333">
        <v>16961.080118999998</v>
      </c>
      <c r="R280" s="333">
        <v>44118.152461999998</v>
      </c>
      <c r="S280" s="333">
        <v>14278.101649</v>
      </c>
      <c r="T280" s="333"/>
      <c r="U280" s="333"/>
      <c r="V280" s="333"/>
      <c r="W280" s="333">
        <v>4503.0196580000002</v>
      </c>
      <c r="X280" s="333"/>
      <c r="Y280" s="333"/>
      <c r="Z280" s="333"/>
      <c r="AA280" s="333">
        <v>14699.403891999998</v>
      </c>
      <c r="AB280" s="333">
        <v>50907.518795999997</v>
      </c>
      <c r="AC280" s="333">
        <v>58841.720984000007</v>
      </c>
      <c r="AD280" s="333">
        <v>17770.912156999999</v>
      </c>
      <c r="AE280" s="333">
        <v>15153.612277</v>
      </c>
      <c r="AF280" s="333"/>
      <c r="AG280" s="333">
        <v>15203.268252000002</v>
      </c>
      <c r="AH280" s="333"/>
      <c r="AI280" s="333"/>
      <c r="AJ280" s="333"/>
      <c r="AK280" s="333">
        <v>11946.342375</v>
      </c>
      <c r="AL280" s="333"/>
      <c r="AM280" s="333"/>
      <c r="AN280" s="333"/>
      <c r="AO280" s="333">
        <v>30219.090722000004</v>
      </c>
      <c r="AP280" s="333">
        <v>486640.48837899999</v>
      </c>
      <c r="AQ280" s="333">
        <v>381451.758615</v>
      </c>
      <c r="AR280" s="333">
        <v>260400.010079</v>
      </c>
      <c r="AS280" s="333">
        <v>169022.17239200001</v>
      </c>
      <c r="AT280" s="333">
        <v>97665.100498</v>
      </c>
      <c r="AU280" s="333"/>
      <c r="AV280" s="333"/>
      <c r="AW280" s="333"/>
      <c r="AX280" s="333">
        <v>112046.295276</v>
      </c>
      <c r="AY280" s="333"/>
      <c r="AZ280" s="333"/>
      <c r="BA280" s="333"/>
      <c r="BB280" s="333">
        <v>16890.376174000001</v>
      </c>
      <c r="BC280" s="333">
        <v>49711.700724000002</v>
      </c>
      <c r="BD280" s="333">
        <v>15784.9992</v>
      </c>
      <c r="BE280" s="333">
        <v>36256.548925999996</v>
      </c>
      <c r="BF280" s="333">
        <v>13323.924034</v>
      </c>
      <c r="BG280" s="333"/>
      <c r="BH280" s="333">
        <v>18245.940542</v>
      </c>
      <c r="BI280" s="333"/>
      <c r="BJ280" s="333"/>
      <c r="BK280" s="333"/>
      <c r="BL280" s="333">
        <v>20869.065444</v>
      </c>
      <c r="BM280" s="333"/>
      <c r="BN280" s="333"/>
    </row>
    <row r="281" spans="1:66">
      <c r="A281" s="313" t="s">
        <v>671</v>
      </c>
      <c r="B281" s="313">
        <v>0</v>
      </c>
      <c r="C281" s="313">
        <v>0</v>
      </c>
      <c r="D281" s="313">
        <v>0</v>
      </c>
      <c r="E281" s="313">
        <v>0</v>
      </c>
      <c r="F281" s="313">
        <v>0</v>
      </c>
      <c r="G281" s="313">
        <v>0</v>
      </c>
      <c r="J281" s="313">
        <v>0</v>
      </c>
      <c r="N281" s="313">
        <v>0</v>
      </c>
      <c r="O281" s="313">
        <v>0</v>
      </c>
      <c r="P281" s="313">
        <v>0</v>
      </c>
      <c r="Q281" s="313">
        <v>0</v>
      </c>
      <c r="R281" s="313">
        <v>0</v>
      </c>
      <c r="S281" s="313">
        <v>0</v>
      </c>
      <c r="W281" s="313">
        <v>0</v>
      </c>
      <c r="AA281" s="313">
        <v>0</v>
      </c>
      <c r="AB281" s="313">
        <v>0</v>
      </c>
      <c r="AC281" s="313">
        <v>0</v>
      </c>
      <c r="AD281" s="313">
        <v>0</v>
      </c>
      <c r="AE281" s="313">
        <v>0</v>
      </c>
      <c r="AG281" s="313">
        <v>0</v>
      </c>
      <c r="AK281" s="313">
        <v>0</v>
      </c>
      <c r="AO281" s="313">
        <v>0</v>
      </c>
      <c r="AP281" s="313">
        <v>0</v>
      </c>
      <c r="AQ281" s="313">
        <v>0</v>
      </c>
      <c r="AR281" s="313">
        <v>0</v>
      </c>
      <c r="AS281" s="313">
        <v>0</v>
      </c>
      <c r="AT281" s="313">
        <v>0</v>
      </c>
      <c r="AX281" s="313">
        <v>0</v>
      </c>
      <c r="BB281" s="313">
        <v>0</v>
      </c>
      <c r="BC281" s="313">
        <v>0</v>
      </c>
      <c r="BD281" s="313">
        <v>0</v>
      </c>
      <c r="BE281" s="313">
        <v>0</v>
      </c>
      <c r="BF281" s="313">
        <v>0</v>
      </c>
      <c r="BH281" s="313">
        <v>0</v>
      </c>
      <c r="BL281" s="313">
        <v>0</v>
      </c>
    </row>
    <row r="282" spans="1:66">
      <c r="A282" s="313" t="s">
        <v>672</v>
      </c>
      <c r="B282" s="313">
        <v>0</v>
      </c>
      <c r="C282" s="313">
        <v>0</v>
      </c>
      <c r="D282" s="313">
        <v>0</v>
      </c>
      <c r="E282" s="313">
        <v>0</v>
      </c>
      <c r="F282" s="313">
        <v>0</v>
      </c>
      <c r="G282" s="313">
        <v>0</v>
      </c>
      <c r="J282" s="313">
        <v>0</v>
      </c>
      <c r="N282" s="313">
        <v>0</v>
      </c>
      <c r="O282" s="313">
        <v>0</v>
      </c>
      <c r="P282" s="313">
        <v>0</v>
      </c>
      <c r="Q282" s="313">
        <v>0</v>
      </c>
      <c r="R282" s="313">
        <v>0</v>
      </c>
      <c r="S282" s="313">
        <v>0</v>
      </c>
      <c r="W282" s="313">
        <v>0</v>
      </c>
      <c r="AA282" s="313">
        <v>0</v>
      </c>
      <c r="AB282" s="313">
        <v>0</v>
      </c>
      <c r="AC282" s="313">
        <v>0</v>
      </c>
      <c r="AD282" s="313">
        <v>0</v>
      </c>
      <c r="AE282" s="313">
        <v>0</v>
      </c>
      <c r="AG282" s="313">
        <v>0</v>
      </c>
      <c r="AK282" s="313">
        <v>0</v>
      </c>
      <c r="AO282" s="313">
        <v>0</v>
      </c>
      <c r="AP282" s="313">
        <v>0</v>
      </c>
      <c r="AQ282" s="313">
        <v>0</v>
      </c>
      <c r="AR282" s="313">
        <v>0</v>
      </c>
      <c r="AS282" s="313">
        <v>0</v>
      </c>
      <c r="AT282" s="313">
        <v>0</v>
      </c>
      <c r="AX282" s="313">
        <v>0</v>
      </c>
      <c r="BB282" s="313">
        <v>0</v>
      </c>
      <c r="BC282" s="313">
        <v>0</v>
      </c>
      <c r="BD282" s="313">
        <v>0</v>
      </c>
      <c r="BE282" s="313">
        <v>0</v>
      </c>
      <c r="BF282" s="313">
        <v>0</v>
      </c>
      <c r="BH282" s="313">
        <v>0</v>
      </c>
      <c r="BL282" s="313">
        <v>0</v>
      </c>
    </row>
    <row r="283" spans="1:66">
      <c r="A283" s="333" t="s">
        <v>673</v>
      </c>
      <c r="B283" s="333">
        <v>-1694.8153260000001</v>
      </c>
      <c r="C283" s="333">
        <v>-1674.9492210000001</v>
      </c>
      <c r="D283" s="333">
        <v>-3517.9841810000003</v>
      </c>
      <c r="E283" s="333">
        <v>-3124.3502870000002</v>
      </c>
      <c r="F283" s="333">
        <v>-23701.805544999999</v>
      </c>
      <c r="G283" s="333">
        <v>-11074.401539</v>
      </c>
      <c r="H283" s="333"/>
      <c r="I283" s="333"/>
      <c r="J283" s="333">
        <v>-13272.165332999999</v>
      </c>
      <c r="K283" s="333"/>
      <c r="L283" s="333"/>
      <c r="M283" s="333"/>
      <c r="N283" s="333">
        <v>-626.34680800000001</v>
      </c>
      <c r="O283" s="333">
        <v>-396.89394399999998</v>
      </c>
      <c r="P283" s="333">
        <v>-10482.875457</v>
      </c>
      <c r="Q283" s="333">
        <v>-4226.8894119999995</v>
      </c>
      <c r="R283" s="333">
        <v>-38282.558497000005</v>
      </c>
      <c r="S283" s="333">
        <v>-14027.816162000001</v>
      </c>
      <c r="T283" s="333"/>
      <c r="U283" s="333"/>
      <c r="V283" s="333"/>
      <c r="W283" s="333">
        <v>-4452.6696579999998</v>
      </c>
      <c r="X283" s="333"/>
      <c r="Y283" s="333"/>
      <c r="Z283" s="333"/>
      <c r="AA283" s="333">
        <v>-14698.493891999999</v>
      </c>
      <c r="AB283" s="333">
        <v>-47286.478795999996</v>
      </c>
      <c r="AC283" s="333">
        <v>236.15705699999998</v>
      </c>
      <c r="AD283" s="333">
        <v>-17765.086456999998</v>
      </c>
      <c r="AE283" s="333">
        <v>-14693.192466999999</v>
      </c>
      <c r="AF283" s="333"/>
      <c r="AG283" s="333">
        <v>-14935.258702000001</v>
      </c>
      <c r="AH283" s="333"/>
      <c r="AI283" s="333"/>
      <c r="AJ283" s="333"/>
      <c r="AK283" s="333">
        <v>-8808.0225890000002</v>
      </c>
      <c r="AL283" s="333"/>
      <c r="AM283" s="333"/>
      <c r="AN283" s="333"/>
      <c r="AO283" s="333">
        <v>-30207.564598000001</v>
      </c>
      <c r="AP283" s="333">
        <v>-174829.56464999999</v>
      </c>
      <c r="AQ283" s="333">
        <v>34096.599294</v>
      </c>
      <c r="AR283" s="333">
        <v>-33298.457814000001</v>
      </c>
      <c r="AS283" s="333">
        <v>-63467.238242999993</v>
      </c>
      <c r="AT283" s="333">
        <v>-67017.020323000004</v>
      </c>
      <c r="AU283" s="333"/>
      <c r="AV283" s="333"/>
      <c r="AW283" s="333"/>
      <c r="AX283" s="333">
        <v>-72612.255321000004</v>
      </c>
      <c r="AY283" s="333"/>
      <c r="AZ283" s="333"/>
      <c r="BA283" s="333"/>
      <c r="BB283" s="333">
        <v>-16800.662988</v>
      </c>
      <c r="BC283" s="333">
        <v>-48278.561554</v>
      </c>
      <c r="BD283" s="333">
        <v>-15784.687400000001</v>
      </c>
      <c r="BE283" s="333">
        <v>-36255.898926000002</v>
      </c>
      <c r="BF283" s="333">
        <v>-13323.729034</v>
      </c>
      <c r="BG283" s="333"/>
      <c r="BH283" s="333">
        <v>-18245.34734</v>
      </c>
      <c r="BI283" s="333"/>
      <c r="BJ283" s="333"/>
      <c r="BK283" s="333"/>
      <c r="BL283" s="333">
        <v>-20643.833805000002</v>
      </c>
      <c r="BM283" s="333"/>
      <c r="BN283" s="333"/>
    </row>
    <row r="284" spans="1:66">
      <c r="A284" s="333" t="s">
        <v>674</v>
      </c>
      <c r="B284" s="333"/>
      <c r="C284" s="333"/>
      <c r="D284" s="333"/>
      <c r="E284" s="333"/>
      <c r="F284" s="333"/>
      <c r="G284" s="333"/>
      <c r="H284" s="333"/>
      <c r="I284" s="333"/>
      <c r="J284" s="333"/>
      <c r="K284" s="333"/>
      <c r="L284" s="333"/>
      <c r="M284" s="333"/>
      <c r="N284" s="333"/>
      <c r="O284" s="333"/>
      <c r="P284" s="333"/>
      <c r="Q284" s="333"/>
      <c r="R284" s="333"/>
      <c r="S284" s="333"/>
      <c r="T284" s="333"/>
      <c r="U284" s="333"/>
      <c r="V284" s="333"/>
      <c r="W284" s="333"/>
      <c r="X284" s="333"/>
      <c r="Y284" s="333"/>
      <c r="Z284" s="333"/>
      <c r="AA284" s="333"/>
      <c r="AB284" s="333"/>
      <c r="AC284" s="333"/>
      <c r="AD284" s="333"/>
      <c r="AE284" s="333"/>
      <c r="AF284" s="333"/>
      <c r="AG284" s="333"/>
      <c r="AH284" s="333"/>
      <c r="AI284" s="333"/>
      <c r="AJ284" s="333"/>
      <c r="AK284" s="333"/>
      <c r="AL284" s="333"/>
      <c r="AM284" s="333"/>
      <c r="AN284" s="333"/>
      <c r="AO284" s="333"/>
      <c r="AP284" s="333"/>
      <c r="AQ284" s="333"/>
      <c r="AR284" s="333"/>
      <c r="AS284" s="333"/>
      <c r="AT284" s="333"/>
      <c r="AU284" s="333"/>
      <c r="AV284" s="333"/>
      <c r="AW284" s="333"/>
      <c r="AX284" s="333"/>
      <c r="AY284" s="333"/>
      <c r="AZ284" s="333"/>
      <c r="BA284" s="333"/>
      <c r="BB284" s="333"/>
      <c r="BC284" s="333"/>
      <c r="BD284" s="333"/>
      <c r="BE284" s="333"/>
      <c r="BF284" s="333"/>
      <c r="BG284" s="333"/>
      <c r="BH284" s="333"/>
      <c r="BI284" s="333"/>
      <c r="BJ284" s="333"/>
      <c r="BK284" s="333"/>
      <c r="BL284" s="333"/>
      <c r="BM284" s="333"/>
      <c r="BN284" s="333"/>
    </row>
    <row r="285" spans="1:66">
      <c r="A285" s="313" t="s">
        <v>675</v>
      </c>
      <c r="B285" s="313">
        <v>0</v>
      </c>
      <c r="C285" s="313">
        <v>37763.772943999997</v>
      </c>
      <c r="D285" s="313">
        <v>315.37900000000002</v>
      </c>
      <c r="E285" s="313">
        <v>0</v>
      </c>
      <c r="F285" s="313">
        <v>16999.998103999998</v>
      </c>
      <c r="G285" s="313">
        <v>10000</v>
      </c>
      <c r="J285" s="313">
        <v>610</v>
      </c>
      <c r="N285" s="313">
        <v>0</v>
      </c>
      <c r="O285" s="313">
        <v>0</v>
      </c>
      <c r="P285" s="313">
        <v>26802.53</v>
      </c>
      <c r="Q285" s="313">
        <v>0</v>
      </c>
      <c r="R285" s="313">
        <v>0</v>
      </c>
      <c r="S285" s="313">
        <v>0</v>
      </c>
      <c r="W285" s="313">
        <v>0</v>
      </c>
      <c r="AA285" s="313">
        <v>4382.2961060000007</v>
      </c>
      <c r="AB285" s="313">
        <v>55286.885020000002</v>
      </c>
      <c r="AC285" s="313">
        <v>160</v>
      </c>
      <c r="AD285" s="313">
        <v>3150</v>
      </c>
      <c r="AE285" s="313">
        <v>0</v>
      </c>
      <c r="AG285" s="313">
        <v>450</v>
      </c>
      <c r="AK285" s="313">
        <v>6300</v>
      </c>
      <c r="AO285" s="313">
        <v>15359.918613</v>
      </c>
      <c r="AP285" s="313">
        <v>188306.27307699999</v>
      </c>
      <c r="AQ285" s="313">
        <v>126.876653</v>
      </c>
      <c r="AR285" s="313">
        <v>5742.1319999999996</v>
      </c>
      <c r="AS285" s="313">
        <v>41</v>
      </c>
      <c r="AT285" s="313">
        <v>88</v>
      </c>
      <c r="AX285" s="313">
        <v>79529.999498999998</v>
      </c>
      <c r="BB285" s="313">
        <v>0</v>
      </c>
      <c r="BC285" s="313">
        <v>84502.438299999994</v>
      </c>
      <c r="BD285" s="313">
        <v>1483.3983820000001</v>
      </c>
      <c r="BE285" s="313">
        <v>0</v>
      </c>
      <c r="BF285" s="313">
        <v>6128.2723169999999</v>
      </c>
      <c r="BH285" s="313">
        <v>424.04047800000001</v>
      </c>
      <c r="BL285" s="313">
        <v>4477.4258520000003</v>
      </c>
    </row>
    <row r="286" spans="1:66">
      <c r="A286" s="313" t="s">
        <v>676</v>
      </c>
      <c r="B286" s="313">
        <v>0</v>
      </c>
      <c r="C286" s="313">
        <v>200</v>
      </c>
      <c r="D286" s="313">
        <v>315.37900000000002</v>
      </c>
      <c r="E286" s="313">
        <v>0</v>
      </c>
      <c r="F286" s="313">
        <v>0</v>
      </c>
      <c r="G286" s="313">
        <v>0</v>
      </c>
      <c r="J286" s="313">
        <v>610</v>
      </c>
      <c r="N286" s="313">
        <v>0</v>
      </c>
      <c r="O286" s="313">
        <v>0</v>
      </c>
      <c r="P286" s="313">
        <v>200</v>
      </c>
      <c r="Q286" s="313">
        <v>0</v>
      </c>
      <c r="R286" s="313">
        <v>0</v>
      </c>
      <c r="S286" s="313">
        <v>0</v>
      </c>
      <c r="W286" s="313">
        <v>0</v>
      </c>
      <c r="AA286" s="313">
        <v>0</v>
      </c>
      <c r="AB286" s="313">
        <v>0</v>
      </c>
      <c r="AC286" s="313">
        <v>160</v>
      </c>
      <c r="AD286" s="313">
        <v>3150</v>
      </c>
      <c r="AE286" s="313">
        <v>0</v>
      </c>
      <c r="AG286" s="313">
        <v>450</v>
      </c>
      <c r="AK286" s="313">
        <v>6300</v>
      </c>
      <c r="AO286" s="313">
        <v>0</v>
      </c>
      <c r="AP286" s="313">
        <v>30</v>
      </c>
      <c r="AQ286" s="313">
        <v>75</v>
      </c>
      <c r="AR286" s="313">
        <v>100</v>
      </c>
      <c r="AS286" s="313">
        <v>41</v>
      </c>
      <c r="AT286" s="313">
        <v>88</v>
      </c>
      <c r="AX286" s="313">
        <v>10</v>
      </c>
      <c r="BB286" s="313">
        <v>0</v>
      </c>
      <c r="BC286" s="313">
        <v>0</v>
      </c>
      <c r="BD286" s="313">
        <v>0</v>
      </c>
      <c r="BE286" s="313">
        <v>0</v>
      </c>
      <c r="BF286" s="313">
        <v>0</v>
      </c>
      <c r="BH286" s="313">
        <v>0</v>
      </c>
      <c r="BL286" s="313">
        <v>0</v>
      </c>
    </row>
    <row r="287" spans="1:66">
      <c r="A287" s="313" t="s">
        <v>677</v>
      </c>
      <c r="B287" s="313">
        <v>5350</v>
      </c>
      <c r="C287" s="313">
        <v>8470</v>
      </c>
      <c r="D287" s="313">
        <v>16900</v>
      </c>
      <c r="E287" s="313">
        <v>23900</v>
      </c>
      <c r="F287" s="313">
        <v>47066</v>
      </c>
      <c r="G287" s="313">
        <v>36003.991838000002</v>
      </c>
      <c r="J287" s="313">
        <v>43265.877213</v>
      </c>
      <c r="N287" s="313">
        <v>18000</v>
      </c>
      <c r="O287" s="313">
        <v>20000</v>
      </c>
      <c r="P287" s="313">
        <v>11500</v>
      </c>
      <c r="Q287" s="313">
        <v>24700</v>
      </c>
      <c r="R287" s="313">
        <v>71600</v>
      </c>
      <c r="S287" s="313">
        <v>63984.18</v>
      </c>
      <c r="W287" s="313">
        <v>43492.560303999999</v>
      </c>
      <c r="AA287" s="313">
        <v>51350</v>
      </c>
      <c r="AB287" s="313">
        <v>60663</v>
      </c>
      <c r="AC287" s="313">
        <v>113820</v>
      </c>
      <c r="AD287" s="313">
        <v>113781.245</v>
      </c>
      <c r="AE287" s="313">
        <v>224171</v>
      </c>
      <c r="AG287" s="313">
        <v>277667.146007</v>
      </c>
      <c r="AK287" s="313">
        <v>104970.761239</v>
      </c>
      <c r="AO287" s="313">
        <v>45242</v>
      </c>
      <c r="AP287" s="313">
        <v>32600</v>
      </c>
      <c r="AQ287" s="313">
        <v>10433.756864000001</v>
      </c>
      <c r="AR287" s="313">
        <v>48103.574267000004</v>
      </c>
      <c r="AS287" s="313">
        <v>55850</v>
      </c>
      <c r="AT287" s="313">
        <v>77000</v>
      </c>
      <c r="AX287" s="313">
        <v>43952.527471000001</v>
      </c>
      <c r="BB287" s="313">
        <v>0</v>
      </c>
      <c r="BC287" s="313">
        <v>0</v>
      </c>
      <c r="BD287" s="313">
        <v>0</v>
      </c>
      <c r="BE287" s="313">
        <v>16000</v>
      </c>
      <c r="BF287" s="313">
        <v>1000</v>
      </c>
      <c r="BH287" s="313">
        <v>0</v>
      </c>
      <c r="BL287" s="313">
        <v>0</v>
      </c>
    </row>
    <row r="288" spans="1:66">
      <c r="A288" s="313" t="s">
        <v>678</v>
      </c>
      <c r="B288" s="313">
        <v>2404.4499999999998</v>
      </c>
      <c r="C288" s="313">
        <v>830</v>
      </c>
      <c r="D288" s="313">
        <v>0</v>
      </c>
      <c r="E288" s="313">
        <v>600</v>
      </c>
      <c r="F288" s="313">
        <v>110</v>
      </c>
      <c r="G288" s="313">
        <v>0</v>
      </c>
      <c r="J288" s="313">
        <v>0</v>
      </c>
      <c r="N288" s="313">
        <v>43.68</v>
      </c>
      <c r="O288" s="313">
        <v>0</v>
      </c>
      <c r="P288" s="313">
        <v>0</v>
      </c>
      <c r="Q288" s="313">
        <v>0</v>
      </c>
      <c r="R288" s="313">
        <v>0</v>
      </c>
      <c r="S288" s="313">
        <v>57.85</v>
      </c>
      <c r="W288" s="313">
        <v>0</v>
      </c>
      <c r="AA288" s="313">
        <v>25248.743043000002</v>
      </c>
      <c r="AB288" s="313">
        <v>37669.405850000003</v>
      </c>
      <c r="AC288" s="313">
        <v>13089.601212</v>
      </c>
      <c r="AD288" s="313">
        <v>0</v>
      </c>
      <c r="AE288" s="313">
        <v>200</v>
      </c>
      <c r="AG288" s="313">
        <v>6635.0691960000004</v>
      </c>
      <c r="AK288" s="313">
        <v>3900.3037240000003</v>
      </c>
      <c r="AO288" s="313">
        <v>0</v>
      </c>
      <c r="AP288" s="313">
        <v>0</v>
      </c>
      <c r="AQ288" s="313">
        <v>0</v>
      </c>
      <c r="AR288" s="313">
        <v>0</v>
      </c>
      <c r="AS288" s="313">
        <v>0</v>
      </c>
      <c r="AT288" s="313">
        <v>0</v>
      </c>
      <c r="AX288" s="313">
        <v>0</v>
      </c>
      <c r="BB288" s="313">
        <v>1900</v>
      </c>
      <c r="BC288" s="313">
        <v>0</v>
      </c>
      <c r="BD288" s="313">
        <v>0</v>
      </c>
      <c r="BE288" s="313">
        <v>0</v>
      </c>
      <c r="BF288" s="313">
        <v>4080.3206700000005</v>
      </c>
      <c r="BH288" s="313">
        <v>15018.090513999998</v>
      </c>
      <c r="BL288" s="313">
        <v>0</v>
      </c>
    </row>
    <row r="289" spans="1:66">
      <c r="A289" s="313" t="s">
        <v>679</v>
      </c>
      <c r="B289" s="313">
        <v>0</v>
      </c>
      <c r="C289" s="313">
        <v>0</v>
      </c>
      <c r="D289" s="313">
        <v>0</v>
      </c>
      <c r="E289" s="313">
        <v>0</v>
      </c>
      <c r="F289" s="313">
        <v>0</v>
      </c>
      <c r="G289" s="313">
        <v>0</v>
      </c>
      <c r="J289" s="313">
        <v>0</v>
      </c>
      <c r="N289" s="313">
        <v>0</v>
      </c>
      <c r="O289" s="313">
        <v>0</v>
      </c>
      <c r="P289" s="313">
        <v>0</v>
      </c>
      <c r="Q289" s="313">
        <v>0</v>
      </c>
      <c r="R289" s="313">
        <v>0</v>
      </c>
      <c r="S289" s="313">
        <v>0</v>
      </c>
      <c r="W289" s="313">
        <v>0</v>
      </c>
      <c r="AA289" s="313">
        <v>0</v>
      </c>
      <c r="AB289" s="313">
        <v>19830</v>
      </c>
      <c r="AC289" s="313">
        <v>0</v>
      </c>
      <c r="AD289" s="313">
        <v>0</v>
      </c>
      <c r="AE289" s="313">
        <v>0</v>
      </c>
      <c r="AG289" s="313">
        <v>0</v>
      </c>
      <c r="AK289" s="313">
        <v>0</v>
      </c>
      <c r="AO289" s="313">
        <v>0</v>
      </c>
      <c r="AP289" s="313">
        <v>0</v>
      </c>
      <c r="AQ289" s="313">
        <v>0</v>
      </c>
      <c r="AR289" s="313">
        <v>0</v>
      </c>
      <c r="AS289" s="313">
        <v>0</v>
      </c>
      <c r="AT289" s="313">
        <v>0</v>
      </c>
      <c r="AX289" s="313">
        <v>0</v>
      </c>
      <c r="BB289" s="313">
        <v>0</v>
      </c>
      <c r="BC289" s="313">
        <v>0</v>
      </c>
      <c r="BD289" s="313">
        <v>0</v>
      </c>
      <c r="BE289" s="313">
        <v>0</v>
      </c>
      <c r="BF289" s="313">
        <v>0</v>
      </c>
      <c r="BH289" s="313">
        <v>0</v>
      </c>
      <c r="BL289" s="313">
        <v>0</v>
      </c>
    </row>
    <row r="290" spans="1:66">
      <c r="A290" s="313" t="s">
        <v>680</v>
      </c>
      <c r="B290" s="313">
        <v>0</v>
      </c>
      <c r="C290" s="313">
        <v>0</v>
      </c>
      <c r="D290" s="313">
        <v>0</v>
      </c>
      <c r="E290" s="313">
        <v>0</v>
      </c>
      <c r="F290" s="313">
        <v>0</v>
      </c>
      <c r="G290" s="313">
        <v>0</v>
      </c>
      <c r="J290" s="313">
        <v>0</v>
      </c>
      <c r="N290" s="313">
        <v>0</v>
      </c>
      <c r="O290" s="313">
        <v>0</v>
      </c>
      <c r="P290" s="313">
        <v>0</v>
      </c>
      <c r="Q290" s="313">
        <v>0</v>
      </c>
      <c r="R290" s="313">
        <v>0</v>
      </c>
      <c r="S290" s="313">
        <v>0</v>
      </c>
      <c r="W290" s="313">
        <v>0</v>
      </c>
      <c r="AA290" s="313">
        <v>0</v>
      </c>
      <c r="AB290" s="313">
        <v>0</v>
      </c>
      <c r="AC290" s="313">
        <v>0</v>
      </c>
      <c r="AD290" s="313">
        <v>0</v>
      </c>
      <c r="AE290" s="313">
        <v>0</v>
      </c>
      <c r="AG290" s="313">
        <v>0</v>
      </c>
      <c r="AK290" s="313">
        <v>0</v>
      </c>
      <c r="AO290" s="313">
        <v>0</v>
      </c>
      <c r="AP290" s="313">
        <v>0</v>
      </c>
      <c r="AQ290" s="313">
        <v>0</v>
      </c>
      <c r="AR290" s="313">
        <v>0</v>
      </c>
      <c r="AS290" s="313">
        <v>0</v>
      </c>
      <c r="AT290" s="313">
        <v>0</v>
      </c>
      <c r="AX290" s="313">
        <v>0</v>
      </c>
      <c r="BB290" s="313">
        <v>0</v>
      </c>
      <c r="BC290" s="313">
        <v>0</v>
      </c>
      <c r="BD290" s="313">
        <v>0</v>
      </c>
      <c r="BE290" s="313">
        <v>0</v>
      </c>
      <c r="BF290" s="313">
        <v>0</v>
      </c>
      <c r="BH290" s="313">
        <v>0</v>
      </c>
      <c r="BL290" s="313">
        <v>0</v>
      </c>
    </row>
    <row r="291" spans="1:66">
      <c r="A291" s="313" t="s">
        <v>681</v>
      </c>
      <c r="B291" s="313">
        <v>0</v>
      </c>
      <c r="C291" s="313">
        <v>0</v>
      </c>
      <c r="D291" s="313">
        <v>0</v>
      </c>
      <c r="E291" s="313">
        <v>0</v>
      </c>
      <c r="F291" s="313">
        <v>0</v>
      </c>
      <c r="G291" s="313">
        <v>0</v>
      </c>
      <c r="J291" s="313">
        <v>0</v>
      </c>
      <c r="N291" s="313">
        <v>0</v>
      </c>
      <c r="O291" s="313">
        <v>0</v>
      </c>
      <c r="P291" s="313">
        <v>0</v>
      </c>
      <c r="Q291" s="313">
        <v>0</v>
      </c>
      <c r="R291" s="313">
        <v>0</v>
      </c>
      <c r="S291" s="313">
        <v>0</v>
      </c>
      <c r="W291" s="313">
        <v>0</v>
      </c>
      <c r="AA291" s="313">
        <v>0</v>
      </c>
      <c r="AB291" s="313">
        <v>0</v>
      </c>
      <c r="AC291" s="313">
        <v>0</v>
      </c>
      <c r="AD291" s="313">
        <v>0</v>
      </c>
      <c r="AE291" s="313">
        <v>0</v>
      </c>
      <c r="AG291" s="313">
        <v>0</v>
      </c>
      <c r="AK291" s="313">
        <v>0</v>
      </c>
      <c r="AO291" s="313">
        <v>0</v>
      </c>
      <c r="AP291" s="313">
        <v>0</v>
      </c>
      <c r="AQ291" s="313">
        <v>0</v>
      </c>
      <c r="AR291" s="313">
        <v>0</v>
      </c>
      <c r="AS291" s="313">
        <v>0</v>
      </c>
      <c r="AT291" s="313">
        <v>0</v>
      </c>
      <c r="AX291" s="313">
        <v>0</v>
      </c>
      <c r="BB291" s="313">
        <v>0</v>
      </c>
      <c r="BC291" s="313">
        <v>0</v>
      </c>
      <c r="BD291" s="313">
        <v>0</v>
      </c>
      <c r="BE291" s="313">
        <v>0</v>
      </c>
      <c r="BF291" s="313">
        <v>0</v>
      </c>
      <c r="BH291" s="313">
        <v>0</v>
      </c>
      <c r="BL291" s="313">
        <v>0</v>
      </c>
    </row>
    <row r="292" spans="1:66">
      <c r="A292" s="333" t="s">
        <v>682</v>
      </c>
      <c r="B292" s="333">
        <v>7754.45</v>
      </c>
      <c r="C292" s="333">
        <v>47063.772943999997</v>
      </c>
      <c r="D292" s="333">
        <v>17215.379000000001</v>
      </c>
      <c r="E292" s="333">
        <v>24500</v>
      </c>
      <c r="F292" s="333">
        <v>64175.998103999998</v>
      </c>
      <c r="G292" s="333">
        <v>46003.991838000002</v>
      </c>
      <c r="H292" s="333"/>
      <c r="I292" s="333"/>
      <c r="J292" s="333">
        <v>43875.877213</v>
      </c>
      <c r="K292" s="333"/>
      <c r="L292" s="333"/>
      <c r="M292" s="333"/>
      <c r="N292" s="333">
        <v>18043.68</v>
      </c>
      <c r="O292" s="333">
        <v>20000</v>
      </c>
      <c r="P292" s="333">
        <v>38302.53</v>
      </c>
      <c r="Q292" s="333">
        <v>24700</v>
      </c>
      <c r="R292" s="333">
        <v>71600</v>
      </c>
      <c r="S292" s="333">
        <v>64042.03</v>
      </c>
      <c r="T292" s="333"/>
      <c r="U292" s="333"/>
      <c r="V292" s="333"/>
      <c r="W292" s="333">
        <v>43492.560303999999</v>
      </c>
      <c r="X292" s="333"/>
      <c r="Y292" s="333"/>
      <c r="Z292" s="333"/>
      <c r="AA292" s="333">
        <v>80981.039149000004</v>
      </c>
      <c r="AB292" s="333">
        <v>173449.29087</v>
      </c>
      <c r="AC292" s="333">
        <v>127069.60121199999</v>
      </c>
      <c r="AD292" s="333">
        <v>116931.245</v>
      </c>
      <c r="AE292" s="333">
        <v>224371</v>
      </c>
      <c r="AF292" s="333"/>
      <c r="AG292" s="333">
        <v>284752.215203</v>
      </c>
      <c r="AH292" s="333"/>
      <c r="AI292" s="333"/>
      <c r="AJ292" s="333"/>
      <c r="AK292" s="333">
        <v>115171.06496300001</v>
      </c>
      <c r="AL292" s="333"/>
      <c r="AM292" s="333"/>
      <c r="AN292" s="333"/>
      <c r="AO292" s="333">
        <v>60601.918613000002</v>
      </c>
      <c r="AP292" s="333">
        <v>220906.27307699999</v>
      </c>
      <c r="AQ292" s="333">
        <v>10560.633517</v>
      </c>
      <c r="AR292" s="333">
        <v>53845.706266999994</v>
      </c>
      <c r="AS292" s="333">
        <v>55891</v>
      </c>
      <c r="AT292" s="333">
        <v>77088</v>
      </c>
      <c r="AU292" s="333"/>
      <c r="AV292" s="333"/>
      <c r="AW292" s="333"/>
      <c r="AX292" s="333">
        <v>123482.52697000001</v>
      </c>
      <c r="AY292" s="333"/>
      <c r="AZ292" s="333"/>
      <c r="BA292" s="333"/>
      <c r="BB292" s="333">
        <v>1900</v>
      </c>
      <c r="BC292" s="333">
        <v>84502.438299999994</v>
      </c>
      <c r="BD292" s="333">
        <v>1483.3983820000001</v>
      </c>
      <c r="BE292" s="333">
        <v>16000</v>
      </c>
      <c r="BF292" s="333">
        <v>11208.592987</v>
      </c>
      <c r="BG292" s="333"/>
      <c r="BH292" s="333">
        <v>15442.130991999999</v>
      </c>
      <c r="BI292" s="333"/>
      <c r="BJ292" s="333"/>
      <c r="BK292" s="333"/>
      <c r="BL292" s="333">
        <v>4477.4258520000003</v>
      </c>
      <c r="BM292" s="333"/>
      <c r="BN292" s="333"/>
    </row>
    <row r="293" spans="1:66">
      <c r="A293" s="313" t="s">
        <v>683</v>
      </c>
      <c r="B293" s="313">
        <v>6000</v>
      </c>
      <c r="C293" s="313">
        <v>12370</v>
      </c>
      <c r="D293" s="313">
        <v>0</v>
      </c>
      <c r="E293" s="313">
        <v>22900</v>
      </c>
      <c r="F293" s="313">
        <v>23930</v>
      </c>
      <c r="G293" s="313">
        <v>51566</v>
      </c>
      <c r="J293" s="313">
        <v>17520</v>
      </c>
      <c r="N293" s="313">
        <v>14500</v>
      </c>
      <c r="O293" s="313">
        <v>18000</v>
      </c>
      <c r="P293" s="313">
        <v>20000</v>
      </c>
      <c r="Q293" s="313">
        <v>11500</v>
      </c>
      <c r="R293" s="313">
        <v>33700</v>
      </c>
      <c r="S293" s="313">
        <v>57107.272944000004</v>
      </c>
      <c r="W293" s="313">
        <v>31180</v>
      </c>
      <c r="AA293" s="313">
        <v>41890.000508999998</v>
      </c>
      <c r="AB293" s="313">
        <v>114720.5</v>
      </c>
      <c r="AC293" s="313">
        <v>109836.87083299999</v>
      </c>
      <c r="AD293" s="313">
        <v>82720</v>
      </c>
      <c r="AE293" s="313">
        <v>139344.54</v>
      </c>
      <c r="AG293" s="313">
        <v>259248.13734799999</v>
      </c>
      <c r="AK293" s="313">
        <v>168061.75028399998</v>
      </c>
      <c r="AO293" s="313">
        <v>14750</v>
      </c>
      <c r="AP293" s="313">
        <v>41612</v>
      </c>
      <c r="AQ293" s="313">
        <v>28400</v>
      </c>
      <c r="AR293" s="313">
        <v>16853</v>
      </c>
      <c r="AS293" s="313">
        <v>48850</v>
      </c>
      <c r="AT293" s="313">
        <v>38900</v>
      </c>
      <c r="AX293" s="313">
        <v>33365.555702999998</v>
      </c>
      <c r="BB293" s="313">
        <v>2000</v>
      </c>
      <c r="BC293" s="313">
        <v>0</v>
      </c>
      <c r="BD293" s="313">
        <v>0</v>
      </c>
      <c r="BE293" s="313">
        <v>100</v>
      </c>
      <c r="BF293" s="313">
        <v>7200</v>
      </c>
      <c r="BH293" s="313">
        <v>9800</v>
      </c>
      <c r="BL293" s="313">
        <v>0</v>
      </c>
    </row>
    <row r="294" spans="1:66">
      <c r="A294" s="313" t="s">
        <v>684</v>
      </c>
      <c r="B294" s="313">
        <v>180.77089799999999</v>
      </c>
      <c r="C294" s="313">
        <v>231.76210399999999</v>
      </c>
      <c r="D294" s="313">
        <v>1404.9660409999999</v>
      </c>
      <c r="E294" s="313">
        <v>1224.0797259999999</v>
      </c>
      <c r="F294" s="313">
        <v>2152.151331</v>
      </c>
      <c r="G294" s="313">
        <v>4534.1219899999996</v>
      </c>
      <c r="J294" s="313">
        <v>3525.8414320000002</v>
      </c>
      <c r="N294" s="313">
        <v>2020.4184710000002</v>
      </c>
      <c r="O294" s="313">
        <v>2027.5132649999998</v>
      </c>
      <c r="P294" s="313">
        <v>2852.3093650000001</v>
      </c>
      <c r="Q294" s="313">
        <v>3422.1928329999996</v>
      </c>
      <c r="R294" s="313">
        <v>4520.0120360000001</v>
      </c>
      <c r="S294" s="313">
        <v>4677.3291939999999</v>
      </c>
      <c r="W294" s="313">
        <v>3458.5032130000004</v>
      </c>
      <c r="AA294" s="313">
        <v>2603.0546610000001</v>
      </c>
      <c r="AB294" s="313">
        <v>3226.9645329999998</v>
      </c>
      <c r="AC294" s="313">
        <v>4577.0950640000001</v>
      </c>
      <c r="AD294" s="313">
        <v>9844.8730450000003</v>
      </c>
      <c r="AE294" s="313">
        <v>10369.825193999999</v>
      </c>
      <c r="AG294" s="313">
        <v>7657.7554569999993</v>
      </c>
      <c r="AK294" s="313">
        <v>15047.822144</v>
      </c>
      <c r="AO294" s="313">
        <v>2282.3816699999998</v>
      </c>
      <c r="AP294" s="313">
        <v>2649.3362899999997</v>
      </c>
      <c r="AQ294" s="313">
        <v>4100.1762929999995</v>
      </c>
      <c r="AR294" s="313">
        <v>1078.368037</v>
      </c>
      <c r="AS294" s="313">
        <v>3298.3017460000001</v>
      </c>
      <c r="AT294" s="313">
        <v>6989.0519030000005</v>
      </c>
      <c r="AX294" s="313">
        <v>3101.5575879999997</v>
      </c>
      <c r="BB294" s="313">
        <v>1191.658555</v>
      </c>
      <c r="BC294" s="313">
        <v>1440.2537500000001</v>
      </c>
      <c r="BD294" s="313">
        <v>2770.3170800000003</v>
      </c>
      <c r="BE294" s="313">
        <v>0</v>
      </c>
      <c r="BF294" s="313">
        <v>854.39437499999997</v>
      </c>
      <c r="BH294" s="313">
        <v>3013.223121</v>
      </c>
      <c r="BL294" s="313">
        <v>3405.6144960000001</v>
      </c>
    </row>
    <row r="295" spans="1:66">
      <c r="A295" s="313" t="s">
        <v>685</v>
      </c>
      <c r="B295" s="313">
        <v>0</v>
      </c>
      <c r="C295" s="313">
        <v>0</v>
      </c>
      <c r="D295" s="313">
        <v>0</v>
      </c>
      <c r="E295" s="313">
        <v>0</v>
      </c>
      <c r="F295" s="313">
        <v>0</v>
      </c>
      <c r="G295" s="313">
        <v>200</v>
      </c>
      <c r="J295" s="313">
        <v>0</v>
      </c>
      <c r="N295" s="313">
        <v>0</v>
      </c>
      <c r="O295" s="313">
        <v>0</v>
      </c>
      <c r="P295" s="313">
        <v>0</v>
      </c>
      <c r="Q295" s="313">
        <v>0</v>
      </c>
      <c r="R295" s="313">
        <v>0</v>
      </c>
      <c r="S295" s="313">
        <v>0</v>
      </c>
      <c r="W295" s="313">
        <v>0</v>
      </c>
      <c r="AA295" s="313">
        <v>0</v>
      </c>
      <c r="AB295" s="313">
        <v>0</v>
      </c>
      <c r="AC295" s="313">
        <v>0</v>
      </c>
      <c r="AD295" s="313">
        <v>3150</v>
      </c>
      <c r="AE295" s="313">
        <v>157.19999999999999</v>
      </c>
      <c r="AG295" s="313">
        <v>1217.2</v>
      </c>
      <c r="AK295" s="313">
        <v>7918.6095999999998</v>
      </c>
      <c r="AO295" s="313">
        <v>0</v>
      </c>
      <c r="AP295" s="313">
        <v>0</v>
      </c>
      <c r="AQ295" s="313">
        <v>0</v>
      </c>
      <c r="AR295" s="313">
        <v>129.755</v>
      </c>
      <c r="AS295" s="313">
        <v>0</v>
      </c>
      <c r="AT295" s="313">
        <v>0</v>
      </c>
      <c r="AX295" s="313">
        <v>0</v>
      </c>
      <c r="BB295" s="313">
        <v>0</v>
      </c>
      <c r="BC295" s="313">
        <v>0</v>
      </c>
      <c r="BD295" s="313">
        <v>0</v>
      </c>
      <c r="BE295" s="313">
        <v>0</v>
      </c>
      <c r="BF295" s="313">
        <v>0</v>
      </c>
      <c r="BH295" s="313">
        <v>0</v>
      </c>
      <c r="BL295" s="313">
        <v>0</v>
      </c>
    </row>
    <row r="296" spans="1:66">
      <c r="A296" s="313" t="s">
        <v>686</v>
      </c>
      <c r="B296" s="313">
        <v>1240</v>
      </c>
      <c r="C296" s="313">
        <v>2819.85</v>
      </c>
      <c r="D296" s="313">
        <v>18031.875</v>
      </c>
      <c r="E296" s="313">
        <v>62.264150999999998</v>
      </c>
      <c r="F296" s="313">
        <v>394.44821400000001</v>
      </c>
      <c r="G296" s="313">
        <v>0</v>
      </c>
      <c r="J296" s="313">
        <v>2.0000000000000001E-4</v>
      </c>
      <c r="N296" s="313">
        <v>294.93</v>
      </c>
      <c r="O296" s="313">
        <v>294.93</v>
      </c>
      <c r="P296" s="313">
        <v>632.10500000000002</v>
      </c>
      <c r="Q296" s="313">
        <v>0</v>
      </c>
      <c r="R296" s="313">
        <v>2712.67535</v>
      </c>
      <c r="S296" s="313">
        <v>89.71</v>
      </c>
      <c r="W296" s="313">
        <v>0</v>
      </c>
      <c r="AA296" s="313">
        <v>9593.1035470000006</v>
      </c>
      <c r="AB296" s="313">
        <v>170</v>
      </c>
      <c r="AC296" s="313">
        <v>2226.117679</v>
      </c>
      <c r="AD296" s="313">
        <v>5890.8239370000001</v>
      </c>
      <c r="AE296" s="313">
        <v>15709.291327999999</v>
      </c>
      <c r="AG296" s="313">
        <v>13886.101538999999</v>
      </c>
      <c r="AK296" s="313">
        <v>0</v>
      </c>
      <c r="AO296" s="313">
        <v>144.61454499999999</v>
      </c>
      <c r="AP296" s="313">
        <v>454.43372999999997</v>
      </c>
      <c r="AQ296" s="313">
        <v>485.48731100000003</v>
      </c>
      <c r="AR296" s="313">
        <v>621.80263300000001</v>
      </c>
      <c r="AS296" s="313">
        <v>239.73759999999999</v>
      </c>
      <c r="AT296" s="313">
        <v>6142.2522779999999</v>
      </c>
      <c r="AX296" s="313">
        <v>6639.030471</v>
      </c>
      <c r="BB296" s="313">
        <v>9.6083339999999993</v>
      </c>
      <c r="BC296" s="313">
        <v>2100.6697879999997</v>
      </c>
      <c r="BD296" s="313">
        <v>47.256246999999995</v>
      </c>
      <c r="BE296" s="313">
        <v>15000.458415999999</v>
      </c>
      <c r="BF296" s="313">
        <v>549.99005</v>
      </c>
      <c r="BH296" s="313">
        <v>88.347098000000003</v>
      </c>
      <c r="BL296" s="313">
        <v>954.25473199999999</v>
      </c>
    </row>
    <row r="297" spans="1:66">
      <c r="A297" s="313" t="s">
        <v>687</v>
      </c>
      <c r="B297" s="313">
        <v>0</v>
      </c>
      <c r="C297" s="313">
        <v>0</v>
      </c>
      <c r="D297" s="313">
        <v>0</v>
      </c>
      <c r="E297" s="313">
        <v>0</v>
      </c>
      <c r="F297" s="313">
        <v>0</v>
      </c>
      <c r="G297" s="313">
        <v>0</v>
      </c>
      <c r="J297" s="313">
        <v>0</v>
      </c>
      <c r="N297" s="313">
        <v>0</v>
      </c>
      <c r="O297" s="313">
        <v>0</v>
      </c>
      <c r="P297" s="313">
        <v>0</v>
      </c>
      <c r="Q297" s="313">
        <v>0</v>
      </c>
      <c r="R297" s="313">
        <v>0</v>
      </c>
      <c r="S297" s="313">
        <v>0</v>
      </c>
      <c r="W297" s="313">
        <v>0</v>
      </c>
      <c r="AA297" s="313">
        <v>0</v>
      </c>
      <c r="AB297" s="313">
        <v>0</v>
      </c>
      <c r="AC297" s="313">
        <v>0</v>
      </c>
      <c r="AD297" s="313">
        <v>0</v>
      </c>
      <c r="AE297" s="313">
        <v>0</v>
      </c>
      <c r="AG297" s="313">
        <v>0</v>
      </c>
      <c r="AK297" s="313">
        <v>0</v>
      </c>
      <c r="AO297" s="313">
        <v>0</v>
      </c>
      <c r="AP297" s="313">
        <v>0</v>
      </c>
      <c r="AQ297" s="313">
        <v>0</v>
      </c>
      <c r="AR297" s="313">
        <v>0</v>
      </c>
      <c r="AS297" s="313">
        <v>0</v>
      </c>
      <c r="AT297" s="313">
        <v>0</v>
      </c>
      <c r="AX297" s="313">
        <v>0</v>
      </c>
      <c r="BB297" s="313">
        <v>0</v>
      </c>
      <c r="BC297" s="313">
        <v>0</v>
      </c>
      <c r="BD297" s="313">
        <v>0</v>
      </c>
      <c r="BE297" s="313">
        <v>0</v>
      </c>
      <c r="BF297" s="313">
        <v>0</v>
      </c>
      <c r="BH297" s="313">
        <v>0</v>
      </c>
      <c r="BL297" s="313">
        <v>0</v>
      </c>
    </row>
    <row r="298" spans="1:66">
      <c r="A298" s="313" t="s">
        <v>688</v>
      </c>
      <c r="B298" s="313">
        <v>0</v>
      </c>
      <c r="C298" s="313">
        <v>0</v>
      </c>
      <c r="D298" s="313">
        <v>0</v>
      </c>
      <c r="E298" s="313">
        <v>0</v>
      </c>
      <c r="F298" s="313">
        <v>0</v>
      </c>
      <c r="G298" s="313">
        <v>0</v>
      </c>
      <c r="J298" s="313">
        <v>0</v>
      </c>
      <c r="N298" s="313">
        <v>0</v>
      </c>
      <c r="O298" s="313">
        <v>0</v>
      </c>
      <c r="P298" s="313">
        <v>0</v>
      </c>
      <c r="Q298" s="313">
        <v>0</v>
      </c>
      <c r="R298" s="313">
        <v>0</v>
      </c>
      <c r="S298" s="313">
        <v>0</v>
      </c>
      <c r="W298" s="313">
        <v>0</v>
      </c>
      <c r="AA298" s="313">
        <v>0</v>
      </c>
      <c r="AB298" s="313">
        <v>0</v>
      </c>
      <c r="AC298" s="313">
        <v>0</v>
      </c>
      <c r="AD298" s="313">
        <v>0</v>
      </c>
      <c r="AE298" s="313">
        <v>0</v>
      </c>
      <c r="AG298" s="313">
        <v>0</v>
      </c>
      <c r="AK298" s="313">
        <v>0</v>
      </c>
      <c r="AO298" s="313">
        <v>0</v>
      </c>
      <c r="AP298" s="313">
        <v>0</v>
      </c>
      <c r="AQ298" s="313">
        <v>0</v>
      </c>
      <c r="AR298" s="313">
        <v>0</v>
      </c>
      <c r="AS298" s="313">
        <v>0</v>
      </c>
      <c r="AT298" s="313">
        <v>0</v>
      </c>
      <c r="AX298" s="313">
        <v>0</v>
      </c>
      <c r="BB298" s="313">
        <v>0</v>
      </c>
      <c r="BC298" s="313">
        <v>0</v>
      </c>
      <c r="BD298" s="313">
        <v>0</v>
      </c>
      <c r="BE298" s="313">
        <v>0</v>
      </c>
      <c r="BF298" s="313">
        <v>0</v>
      </c>
      <c r="BH298" s="313">
        <v>0</v>
      </c>
      <c r="BL298" s="313">
        <v>0</v>
      </c>
    </row>
    <row r="299" spans="1:66">
      <c r="A299" s="333" t="s">
        <v>689</v>
      </c>
      <c r="B299" s="333">
        <v>7420.7708980000007</v>
      </c>
      <c r="C299" s="333">
        <v>15421.612104</v>
      </c>
      <c r="D299" s="333">
        <v>19436.841041</v>
      </c>
      <c r="E299" s="333">
        <v>24186.343876999999</v>
      </c>
      <c r="F299" s="333">
        <v>26476.599544999997</v>
      </c>
      <c r="G299" s="333">
        <v>56100.12199</v>
      </c>
      <c r="H299" s="333"/>
      <c r="I299" s="333"/>
      <c r="J299" s="333">
        <v>21045.841632</v>
      </c>
      <c r="K299" s="333"/>
      <c r="L299" s="333"/>
      <c r="M299" s="333"/>
      <c r="N299" s="333">
        <v>16815.348471000001</v>
      </c>
      <c r="O299" s="333">
        <v>20322.443265000002</v>
      </c>
      <c r="P299" s="333">
        <v>23484.414365000001</v>
      </c>
      <c r="Q299" s="333">
        <v>14922.192833000001</v>
      </c>
      <c r="R299" s="333">
        <v>40932.687386000005</v>
      </c>
      <c r="S299" s="333">
        <v>61874.312138000001</v>
      </c>
      <c r="T299" s="333"/>
      <c r="U299" s="333"/>
      <c r="V299" s="333"/>
      <c r="W299" s="333">
        <v>34638.503212999996</v>
      </c>
      <c r="X299" s="333"/>
      <c r="Y299" s="333"/>
      <c r="Z299" s="333"/>
      <c r="AA299" s="333">
        <v>54086.158716999998</v>
      </c>
      <c r="AB299" s="333">
        <v>118117.46453299999</v>
      </c>
      <c r="AC299" s="333">
        <v>116640.083576</v>
      </c>
      <c r="AD299" s="333">
        <v>98455.696982000009</v>
      </c>
      <c r="AE299" s="333">
        <v>165423.656522</v>
      </c>
      <c r="AF299" s="333"/>
      <c r="AG299" s="333">
        <v>280791.99434400001</v>
      </c>
      <c r="AH299" s="333"/>
      <c r="AI299" s="333"/>
      <c r="AJ299" s="333"/>
      <c r="AK299" s="333">
        <v>183109.57242799998</v>
      </c>
      <c r="AL299" s="333"/>
      <c r="AM299" s="333"/>
      <c r="AN299" s="333"/>
      <c r="AO299" s="333">
        <v>17176.996214999999</v>
      </c>
      <c r="AP299" s="333">
        <v>44715.770019999996</v>
      </c>
      <c r="AQ299" s="333">
        <v>32985.663604000001</v>
      </c>
      <c r="AR299" s="333">
        <v>18553.17067</v>
      </c>
      <c r="AS299" s="333">
        <v>52388.039345999998</v>
      </c>
      <c r="AT299" s="333">
        <v>52031.304181</v>
      </c>
      <c r="AU299" s="333"/>
      <c r="AV299" s="333"/>
      <c r="AW299" s="333"/>
      <c r="AX299" s="333">
        <v>43106.143762</v>
      </c>
      <c r="AY299" s="333"/>
      <c r="AZ299" s="333"/>
      <c r="BA299" s="333"/>
      <c r="BB299" s="333">
        <v>3201.266889</v>
      </c>
      <c r="BC299" s="333">
        <v>3540.9235380000005</v>
      </c>
      <c r="BD299" s="333">
        <v>2817.5733270000001</v>
      </c>
      <c r="BE299" s="333">
        <v>15100.458415999999</v>
      </c>
      <c r="BF299" s="333">
        <v>8604.3844250000002</v>
      </c>
      <c r="BG299" s="333"/>
      <c r="BH299" s="333">
        <v>12901.570218999999</v>
      </c>
      <c r="BI299" s="333"/>
      <c r="BJ299" s="333"/>
      <c r="BK299" s="333"/>
      <c r="BL299" s="333">
        <v>4359.8692280000005</v>
      </c>
      <c r="BM299" s="333"/>
      <c r="BN299" s="333"/>
    </row>
    <row r="300" spans="1:66">
      <c r="A300" s="313" t="s">
        <v>690</v>
      </c>
      <c r="B300" s="313">
        <v>0</v>
      </c>
      <c r="C300" s="313">
        <v>0</v>
      </c>
      <c r="D300" s="313">
        <v>0</v>
      </c>
      <c r="E300" s="313">
        <v>0</v>
      </c>
      <c r="F300" s="313">
        <v>0</v>
      </c>
      <c r="G300" s="313">
        <v>0</v>
      </c>
      <c r="J300" s="313">
        <v>0</v>
      </c>
      <c r="N300" s="313">
        <v>0</v>
      </c>
      <c r="O300" s="313">
        <v>0</v>
      </c>
      <c r="P300" s="313">
        <v>0</v>
      </c>
      <c r="Q300" s="313">
        <v>0</v>
      </c>
      <c r="R300" s="313">
        <v>0</v>
      </c>
      <c r="S300" s="313">
        <v>0</v>
      </c>
      <c r="W300" s="313">
        <v>0</v>
      </c>
      <c r="AA300" s="313">
        <v>0</v>
      </c>
      <c r="AB300" s="313">
        <v>0</v>
      </c>
      <c r="AC300" s="313">
        <v>0</v>
      </c>
      <c r="AD300" s="313">
        <v>0</v>
      </c>
      <c r="AE300" s="313">
        <v>0</v>
      </c>
      <c r="AG300" s="313">
        <v>0</v>
      </c>
      <c r="AK300" s="313">
        <v>0</v>
      </c>
      <c r="AO300" s="313">
        <v>0</v>
      </c>
      <c r="AP300" s="313">
        <v>0</v>
      </c>
      <c r="AQ300" s="313">
        <v>0</v>
      </c>
      <c r="AR300" s="313">
        <v>0</v>
      </c>
      <c r="AS300" s="313">
        <v>0</v>
      </c>
      <c r="AT300" s="313">
        <v>0</v>
      </c>
      <c r="AX300" s="313">
        <v>0</v>
      </c>
      <c r="BB300" s="313">
        <v>0</v>
      </c>
      <c r="BC300" s="313">
        <v>0</v>
      </c>
      <c r="BD300" s="313">
        <v>0</v>
      </c>
      <c r="BE300" s="313">
        <v>0</v>
      </c>
      <c r="BF300" s="313">
        <v>0</v>
      </c>
      <c r="BH300" s="313">
        <v>0</v>
      </c>
      <c r="BL300" s="313">
        <v>0</v>
      </c>
    </row>
    <row r="301" spans="1:66">
      <c r="A301" s="313" t="s">
        <v>691</v>
      </c>
      <c r="B301" s="313">
        <v>0</v>
      </c>
      <c r="C301" s="313">
        <v>0</v>
      </c>
      <c r="D301" s="313">
        <v>0</v>
      </c>
      <c r="E301" s="313">
        <v>0</v>
      </c>
      <c r="F301" s="313">
        <v>0</v>
      </c>
      <c r="G301" s="313">
        <v>0</v>
      </c>
      <c r="J301" s="313">
        <v>0</v>
      </c>
      <c r="N301" s="313">
        <v>0</v>
      </c>
      <c r="O301" s="313">
        <v>0</v>
      </c>
      <c r="P301" s="313">
        <v>0</v>
      </c>
      <c r="Q301" s="313">
        <v>0</v>
      </c>
      <c r="R301" s="313">
        <v>0</v>
      </c>
      <c r="S301" s="313">
        <v>0</v>
      </c>
      <c r="W301" s="313">
        <v>0</v>
      </c>
      <c r="AA301" s="313">
        <v>0</v>
      </c>
      <c r="AB301" s="313">
        <v>0</v>
      </c>
      <c r="AC301" s="313">
        <v>0</v>
      </c>
      <c r="AD301" s="313">
        <v>0</v>
      </c>
      <c r="AE301" s="313">
        <v>0</v>
      </c>
      <c r="AG301" s="313">
        <v>0</v>
      </c>
      <c r="AK301" s="313">
        <v>0</v>
      </c>
      <c r="AO301" s="313">
        <v>0</v>
      </c>
      <c r="AP301" s="313">
        <v>0</v>
      </c>
      <c r="AQ301" s="313">
        <v>0</v>
      </c>
      <c r="AR301" s="313">
        <v>0</v>
      </c>
      <c r="AS301" s="313">
        <v>0</v>
      </c>
      <c r="AT301" s="313">
        <v>0</v>
      </c>
      <c r="AX301" s="313">
        <v>0</v>
      </c>
      <c r="BB301" s="313">
        <v>0</v>
      </c>
      <c r="BC301" s="313">
        <v>0</v>
      </c>
      <c r="BD301" s="313">
        <v>0</v>
      </c>
      <c r="BE301" s="313">
        <v>0</v>
      </c>
      <c r="BF301" s="313">
        <v>0</v>
      </c>
      <c r="BH301" s="313">
        <v>0</v>
      </c>
      <c r="BL301" s="313">
        <v>0</v>
      </c>
    </row>
    <row r="302" spans="1:66">
      <c r="A302" s="333" t="s">
        <v>692</v>
      </c>
      <c r="B302" s="333">
        <v>333.679102</v>
      </c>
      <c r="C302" s="333">
        <v>31642.160839999997</v>
      </c>
      <c r="D302" s="333">
        <v>-2221.4620410000002</v>
      </c>
      <c r="E302" s="333">
        <v>313.65612299999998</v>
      </c>
      <c r="F302" s="333">
        <v>37699.398558999994</v>
      </c>
      <c r="G302" s="333">
        <v>-10096.130152</v>
      </c>
      <c r="H302" s="333"/>
      <c r="I302" s="333"/>
      <c r="J302" s="333">
        <v>22830.035581</v>
      </c>
      <c r="K302" s="333"/>
      <c r="L302" s="333"/>
      <c r="M302" s="333"/>
      <c r="N302" s="333">
        <v>1228.3315289999998</v>
      </c>
      <c r="O302" s="333">
        <v>-322.443265</v>
      </c>
      <c r="P302" s="333">
        <v>14818.115635</v>
      </c>
      <c r="Q302" s="333">
        <v>9777.8071670000008</v>
      </c>
      <c r="R302" s="333">
        <v>30667.312613999999</v>
      </c>
      <c r="S302" s="333">
        <v>2167.717862</v>
      </c>
      <c r="T302" s="333"/>
      <c r="U302" s="333"/>
      <c r="V302" s="333"/>
      <c r="W302" s="333">
        <v>8854.0570909999988</v>
      </c>
      <c r="X302" s="333"/>
      <c r="Y302" s="333"/>
      <c r="Z302" s="333"/>
      <c r="AA302" s="333">
        <v>26894.880431999998</v>
      </c>
      <c r="AB302" s="333">
        <v>55331.826336999999</v>
      </c>
      <c r="AC302" s="333">
        <v>10429.517636</v>
      </c>
      <c r="AD302" s="333">
        <v>18475.548018000001</v>
      </c>
      <c r="AE302" s="333">
        <v>58947.343477999995</v>
      </c>
      <c r="AF302" s="333"/>
      <c r="AG302" s="333">
        <v>3960.2208590000005</v>
      </c>
      <c r="AH302" s="333"/>
      <c r="AI302" s="333"/>
      <c r="AJ302" s="333"/>
      <c r="AK302" s="333">
        <v>-67938.507465000002</v>
      </c>
      <c r="AL302" s="333"/>
      <c r="AM302" s="333"/>
      <c r="AN302" s="333"/>
      <c r="AO302" s="333">
        <v>43424.922398000002</v>
      </c>
      <c r="AP302" s="333">
        <v>176190.50305699999</v>
      </c>
      <c r="AQ302" s="333">
        <v>-22425.030086999999</v>
      </c>
      <c r="AR302" s="333">
        <v>35292.535597000002</v>
      </c>
      <c r="AS302" s="333">
        <v>3502.960654</v>
      </c>
      <c r="AT302" s="333">
        <v>25056.695819</v>
      </c>
      <c r="AU302" s="333"/>
      <c r="AV302" s="333"/>
      <c r="AW302" s="333"/>
      <c r="AX302" s="333">
        <v>80376.383207999999</v>
      </c>
      <c r="AY302" s="333"/>
      <c r="AZ302" s="333"/>
      <c r="BA302" s="333"/>
      <c r="BB302" s="333">
        <v>-1301.266889</v>
      </c>
      <c r="BC302" s="333">
        <v>80961.514762000006</v>
      </c>
      <c r="BD302" s="333">
        <v>-1334.174945</v>
      </c>
      <c r="BE302" s="333">
        <v>899.54158399999994</v>
      </c>
      <c r="BF302" s="333">
        <v>2604.2085620000003</v>
      </c>
      <c r="BG302" s="333"/>
      <c r="BH302" s="333">
        <v>2540.5607730000002</v>
      </c>
      <c r="BI302" s="333"/>
      <c r="BJ302" s="333"/>
      <c r="BK302" s="333"/>
      <c r="BL302" s="333">
        <v>117.556624</v>
      </c>
      <c r="BM302" s="333"/>
      <c r="BN302" s="333"/>
    </row>
    <row r="303" spans="1:66">
      <c r="A303" s="333" t="s">
        <v>693</v>
      </c>
      <c r="B303" s="333">
        <v>177.471485</v>
      </c>
      <c r="C303" s="333">
        <v>247.598308</v>
      </c>
      <c r="D303" s="333">
        <v>14.89908</v>
      </c>
      <c r="E303" s="333">
        <v>-146.33548500000001</v>
      </c>
      <c r="F303" s="333">
        <v>70.189237000000006</v>
      </c>
      <c r="G303" s="333">
        <v>-36.274543999999999</v>
      </c>
      <c r="H303" s="333"/>
      <c r="I303" s="333"/>
      <c r="J303" s="333">
        <v>-178.12221599999998</v>
      </c>
      <c r="K303" s="333"/>
      <c r="L303" s="333"/>
      <c r="M303" s="333"/>
      <c r="N303" s="333">
        <v>18.176607999999998</v>
      </c>
      <c r="O303" s="333">
        <v>50.164419000000002</v>
      </c>
      <c r="P303" s="333">
        <v>-3.8974540000000002</v>
      </c>
      <c r="Q303" s="333">
        <v>1.8960689999999998</v>
      </c>
      <c r="R303" s="333">
        <v>0.47307500000000002</v>
      </c>
      <c r="S303" s="333">
        <v>-0.48472200000000004</v>
      </c>
      <c r="T303" s="333"/>
      <c r="U303" s="333"/>
      <c r="V303" s="333"/>
      <c r="W303" s="333">
        <v>-10.069642999999999</v>
      </c>
      <c r="X303" s="333"/>
      <c r="Y303" s="333"/>
      <c r="Z303" s="333"/>
      <c r="AA303" s="333">
        <v>0</v>
      </c>
      <c r="AB303" s="333">
        <v>0</v>
      </c>
      <c r="AC303" s="333">
        <v>68.804310000000001</v>
      </c>
      <c r="AD303" s="333">
        <v>103.39559300000001</v>
      </c>
      <c r="AE303" s="333">
        <v>-37.538196999999997</v>
      </c>
      <c r="AF303" s="333"/>
      <c r="AG303" s="333">
        <v>-162.05730199999999</v>
      </c>
      <c r="AH303" s="333"/>
      <c r="AI303" s="333"/>
      <c r="AJ303" s="333"/>
      <c r="AK303" s="333">
        <v>49.158947999999995</v>
      </c>
      <c r="AL303" s="333"/>
      <c r="AM303" s="333"/>
      <c r="AN303" s="333"/>
      <c r="AO303" s="333">
        <v>46.537542999999999</v>
      </c>
      <c r="AP303" s="333">
        <v>61.864946999999994</v>
      </c>
      <c r="AQ303" s="333">
        <v>58.506181000000005</v>
      </c>
      <c r="AR303" s="333">
        <v>-14.482517000000001</v>
      </c>
      <c r="AS303" s="333">
        <v>529.68311799999992</v>
      </c>
      <c r="AT303" s="333">
        <v>-75.588504</v>
      </c>
      <c r="AU303" s="333"/>
      <c r="AV303" s="333"/>
      <c r="AW303" s="333"/>
      <c r="AX303" s="333">
        <v>-63.975089000000004</v>
      </c>
      <c r="AY303" s="333"/>
      <c r="AZ303" s="333"/>
      <c r="BA303" s="333"/>
      <c r="BB303" s="333">
        <v>0</v>
      </c>
      <c r="BC303" s="333">
        <v>0</v>
      </c>
      <c r="BD303" s="333">
        <v>0</v>
      </c>
      <c r="BE303" s="333">
        <v>0</v>
      </c>
      <c r="BF303" s="333">
        <v>0</v>
      </c>
      <c r="BG303" s="333"/>
      <c r="BH303" s="333">
        <v>0</v>
      </c>
      <c r="BI303" s="333"/>
      <c r="BJ303" s="333"/>
      <c r="BK303" s="333"/>
      <c r="BL303" s="333">
        <v>0</v>
      </c>
      <c r="BM303" s="333"/>
      <c r="BN303" s="333"/>
    </row>
    <row r="304" spans="1:66">
      <c r="A304" s="313" t="s">
        <v>694</v>
      </c>
      <c r="B304" s="313">
        <v>0</v>
      </c>
      <c r="C304" s="313">
        <v>0</v>
      </c>
      <c r="D304" s="313">
        <v>0</v>
      </c>
      <c r="E304" s="313">
        <v>0</v>
      </c>
      <c r="F304" s="313">
        <v>0</v>
      </c>
      <c r="G304" s="313">
        <v>0</v>
      </c>
      <c r="J304" s="313">
        <v>0</v>
      </c>
      <c r="N304" s="313">
        <v>0</v>
      </c>
      <c r="O304" s="313">
        <v>0</v>
      </c>
      <c r="P304" s="313">
        <v>0</v>
      </c>
      <c r="Q304" s="313">
        <v>0</v>
      </c>
      <c r="R304" s="313">
        <v>0</v>
      </c>
      <c r="S304" s="313">
        <v>0</v>
      </c>
      <c r="W304" s="313">
        <v>0</v>
      </c>
      <c r="AA304" s="313">
        <v>0</v>
      </c>
      <c r="AB304" s="313">
        <v>0</v>
      </c>
      <c r="AC304" s="313">
        <v>0</v>
      </c>
      <c r="AD304" s="313">
        <v>0</v>
      </c>
      <c r="AE304" s="313">
        <v>0</v>
      </c>
      <c r="AG304" s="313">
        <v>0</v>
      </c>
      <c r="AK304" s="313">
        <v>0</v>
      </c>
      <c r="AO304" s="313">
        <v>0</v>
      </c>
      <c r="AP304" s="313">
        <v>0</v>
      </c>
      <c r="AQ304" s="313">
        <v>0</v>
      </c>
      <c r="AR304" s="313">
        <v>0</v>
      </c>
      <c r="AS304" s="313">
        <v>0</v>
      </c>
      <c r="AT304" s="313">
        <v>0</v>
      </c>
      <c r="AX304" s="313">
        <v>0</v>
      </c>
      <c r="BB304" s="313">
        <v>0</v>
      </c>
      <c r="BC304" s="313">
        <v>0</v>
      </c>
      <c r="BD304" s="313">
        <v>0</v>
      </c>
      <c r="BE304" s="313">
        <v>0</v>
      </c>
      <c r="BF304" s="313">
        <v>0</v>
      </c>
      <c r="BH304" s="313">
        <v>0</v>
      </c>
      <c r="BL304" s="313">
        <v>0</v>
      </c>
    </row>
    <row r="305" spans="1:66">
      <c r="A305" s="313" t="s">
        <v>695</v>
      </c>
      <c r="B305" s="313">
        <v>0</v>
      </c>
      <c r="C305" s="313">
        <v>0</v>
      </c>
      <c r="D305" s="313">
        <v>0</v>
      </c>
      <c r="E305" s="313">
        <v>0</v>
      </c>
      <c r="F305" s="313">
        <v>0</v>
      </c>
      <c r="G305" s="313">
        <v>0</v>
      </c>
      <c r="J305" s="313">
        <v>0</v>
      </c>
      <c r="N305" s="313">
        <v>0</v>
      </c>
      <c r="O305" s="313">
        <v>0</v>
      </c>
      <c r="P305" s="313">
        <v>0</v>
      </c>
      <c r="Q305" s="313">
        <v>0</v>
      </c>
      <c r="R305" s="313">
        <v>0</v>
      </c>
      <c r="S305" s="313">
        <v>0</v>
      </c>
      <c r="W305" s="313">
        <v>0</v>
      </c>
      <c r="AA305" s="313">
        <v>0</v>
      </c>
      <c r="AB305" s="313">
        <v>0</v>
      </c>
      <c r="AC305" s="313">
        <v>0</v>
      </c>
      <c r="AD305" s="313">
        <v>0</v>
      </c>
      <c r="AE305" s="313">
        <v>0</v>
      </c>
      <c r="AG305" s="313">
        <v>0</v>
      </c>
      <c r="AK305" s="313">
        <v>0</v>
      </c>
      <c r="AO305" s="313">
        <v>0</v>
      </c>
      <c r="AP305" s="313">
        <v>0</v>
      </c>
      <c r="AQ305" s="313">
        <v>0</v>
      </c>
      <c r="AR305" s="313">
        <v>0</v>
      </c>
      <c r="AS305" s="313">
        <v>0</v>
      </c>
      <c r="AT305" s="313">
        <v>0</v>
      </c>
      <c r="AX305" s="313">
        <v>0</v>
      </c>
      <c r="BB305" s="313">
        <v>0</v>
      </c>
      <c r="BC305" s="313">
        <v>0</v>
      </c>
      <c r="BD305" s="313">
        <v>0</v>
      </c>
      <c r="BE305" s="313">
        <v>0</v>
      </c>
      <c r="BF305" s="313">
        <v>0</v>
      </c>
      <c r="BH305" s="313">
        <v>0</v>
      </c>
      <c r="BL305" s="313">
        <v>0</v>
      </c>
    </row>
    <row r="306" spans="1:66">
      <c r="A306" s="333" t="s">
        <v>696</v>
      </c>
      <c r="B306" s="333">
        <v>2327.554267</v>
      </c>
      <c r="C306" s="333">
        <v>41685.518707000003</v>
      </c>
      <c r="D306" s="333">
        <v>-6048.0650189999997</v>
      </c>
      <c r="E306" s="333">
        <v>-4786.9577950000003</v>
      </c>
      <c r="F306" s="333">
        <v>23432.941164</v>
      </c>
      <c r="G306" s="333">
        <v>4621.3081810000003</v>
      </c>
      <c r="H306" s="333"/>
      <c r="I306" s="333"/>
      <c r="J306" s="333">
        <v>-25212.309823</v>
      </c>
      <c r="K306" s="333"/>
      <c r="L306" s="333"/>
      <c r="M306" s="333"/>
      <c r="N306" s="333">
        <v>921.52396500000009</v>
      </c>
      <c r="O306" s="333">
        <v>7540.3333640000001</v>
      </c>
      <c r="P306" s="333">
        <v>2389.8986049999999</v>
      </c>
      <c r="Q306" s="333">
        <v>14394.397632</v>
      </c>
      <c r="R306" s="333">
        <v>999.86015500000008</v>
      </c>
      <c r="S306" s="333">
        <v>-1533.584983</v>
      </c>
      <c r="T306" s="333"/>
      <c r="U306" s="333"/>
      <c r="V306" s="333"/>
      <c r="W306" s="333">
        <v>-10207.24893</v>
      </c>
      <c r="X306" s="333"/>
      <c r="Y306" s="333"/>
      <c r="Z306" s="333"/>
      <c r="AA306" s="333">
        <v>5490.4559009999994</v>
      </c>
      <c r="AB306" s="333">
        <v>-13212.079492000001</v>
      </c>
      <c r="AC306" s="333">
        <v>18443.92655</v>
      </c>
      <c r="AD306" s="333">
        <v>-8586.3707670000003</v>
      </c>
      <c r="AE306" s="333">
        <v>7968.306254000001</v>
      </c>
      <c r="AF306" s="333"/>
      <c r="AG306" s="333">
        <v>-8740.4356339999995</v>
      </c>
      <c r="AH306" s="333"/>
      <c r="AI306" s="333"/>
      <c r="AJ306" s="333"/>
      <c r="AK306" s="333">
        <v>-5073.5768500000004</v>
      </c>
      <c r="AL306" s="333"/>
      <c r="AM306" s="333"/>
      <c r="AN306" s="333"/>
      <c r="AO306" s="333">
        <v>22102.765809</v>
      </c>
      <c r="AP306" s="333">
        <v>10445.412226</v>
      </c>
      <c r="AQ306" s="333">
        <v>33634.956567000001</v>
      </c>
      <c r="AR306" s="333">
        <v>25904.523927999999</v>
      </c>
      <c r="AS306" s="333">
        <v>-25595.959125000001</v>
      </c>
      <c r="AT306" s="333">
        <v>1381.4543529999999</v>
      </c>
      <c r="AU306" s="333"/>
      <c r="AV306" s="333"/>
      <c r="AW306" s="333"/>
      <c r="AX306" s="333">
        <v>-14258.490447999999</v>
      </c>
      <c r="AY306" s="333"/>
      <c r="AZ306" s="333"/>
      <c r="BA306" s="333"/>
      <c r="BB306" s="333">
        <v>-11544.421082999999</v>
      </c>
      <c r="BC306" s="333">
        <v>47422.078965000001</v>
      </c>
      <c r="BD306" s="333">
        <v>-6202.008452</v>
      </c>
      <c r="BE306" s="333">
        <v>-22690.799649</v>
      </c>
      <c r="BF306" s="333">
        <v>-1960.7571210000001</v>
      </c>
      <c r="BG306" s="333"/>
      <c r="BH306" s="333">
        <v>-3363.4731130000005</v>
      </c>
      <c r="BI306" s="333"/>
      <c r="BJ306" s="333"/>
      <c r="BK306" s="333"/>
      <c r="BL306" s="333">
        <v>-16700.184992999999</v>
      </c>
      <c r="BM306" s="333"/>
      <c r="BN306" s="333"/>
    </row>
    <row r="307" spans="1:66">
      <c r="A307" s="313" t="s">
        <v>697</v>
      </c>
      <c r="B307" s="313">
        <v>11278.860265000001</v>
      </c>
      <c r="C307" s="313">
        <v>13606.414531999999</v>
      </c>
      <c r="D307" s="313">
        <v>55291.933238999998</v>
      </c>
      <c r="E307" s="313">
        <v>49243.868219999997</v>
      </c>
      <c r="F307" s="313">
        <v>44456.910425000002</v>
      </c>
      <c r="G307" s="313">
        <v>67889.851588999998</v>
      </c>
      <c r="J307" s="313">
        <v>72511.159769999998</v>
      </c>
      <c r="N307" s="313">
        <v>12697.660970000001</v>
      </c>
      <c r="O307" s="313">
        <v>13619.184934999999</v>
      </c>
      <c r="P307" s="313">
        <v>21159.518298999999</v>
      </c>
      <c r="Q307" s="313">
        <v>23549.416903999998</v>
      </c>
      <c r="R307" s="313">
        <v>37943.814535999998</v>
      </c>
      <c r="S307" s="313">
        <v>38943.674691</v>
      </c>
      <c r="W307" s="313">
        <v>37410.089708</v>
      </c>
      <c r="AA307" s="313">
        <v>21996.510052000001</v>
      </c>
      <c r="AB307" s="313">
        <v>27486.965952999995</v>
      </c>
      <c r="AC307" s="313">
        <v>14274.886461000002</v>
      </c>
      <c r="AD307" s="313">
        <v>32718.813011000002</v>
      </c>
      <c r="AE307" s="313">
        <v>24132.442243999998</v>
      </c>
      <c r="AG307" s="313">
        <v>32100.748498000001</v>
      </c>
      <c r="AK307" s="313">
        <v>23360.312864</v>
      </c>
      <c r="AO307" s="313">
        <v>23970.418266999997</v>
      </c>
      <c r="AP307" s="313">
        <v>46073.184075999998</v>
      </c>
      <c r="AQ307" s="313">
        <v>56518.596301999998</v>
      </c>
      <c r="AR307" s="313">
        <v>90153.552869000006</v>
      </c>
      <c r="AS307" s="313">
        <v>116058.076797</v>
      </c>
      <c r="AT307" s="313">
        <v>90462.117672000008</v>
      </c>
      <c r="AX307" s="313">
        <v>91843.572025000001</v>
      </c>
      <c r="BB307" s="313">
        <v>29692.279529000003</v>
      </c>
      <c r="BC307" s="313">
        <v>18147.858446000002</v>
      </c>
      <c r="BD307" s="313">
        <v>65569.937411000006</v>
      </c>
      <c r="BE307" s="313">
        <v>59367.928959000004</v>
      </c>
      <c r="BF307" s="313">
        <v>36677.129310000004</v>
      </c>
      <c r="BH307" s="313">
        <v>34716.372189000002</v>
      </c>
      <c r="BL307" s="313">
        <v>31352.899075999998</v>
      </c>
    </row>
    <row r="308" spans="1:66">
      <c r="A308" s="333" t="s">
        <v>698</v>
      </c>
      <c r="B308" s="333">
        <v>13606.414531999999</v>
      </c>
      <c r="C308" s="333">
        <v>55291.933238999998</v>
      </c>
      <c r="D308" s="333">
        <v>49243.868219999997</v>
      </c>
      <c r="E308" s="333">
        <v>44456.910425000002</v>
      </c>
      <c r="F308" s="333">
        <v>67889.851588999998</v>
      </c>
      <c r="G308" s="333">
        <v>72511.159769999998</v>
      </c>
      <c r="H308" s="333"/>
      <c r="I308" s="333"/>
      <c r="J308" s="333">
        <v>47298.849947000002</v>
      </c>
      <c r="K308" s="333"/>
      <c r="L308" s="333"/>
      <c r="M308" s="333"/>
      <c r="N308" s="333">
        <v>13619.184934999999</v>
      </c>
      <c r="O308" s="333">
        <v>21159.518298999999</v>
      </c>
      <c r="P308" s="333">
        <v>23549.416903999998</v>
      </c>
      <c r="Q308" s="333">
        <v>37943.814535999998</v>
      </c>
      <c r="R308" s="333">
        <v>38943.674691</v>
      </c>
      <c r="S308" s="333">
        <v>37410.089708</v>
      </c>
      <c r="T308" s="333"/>
      <c r="U308" s="333"/>
      <c r="V308" s="333"/>
      <c r="W308" s="333">
        <v>27202.840777999998</v>
      </c>
      <c r="X308" s="333"/>
      <c r="Y308" s="333"/>
      <c r="Z308" s="333"/>
      <c r="AA308" s="333">
        <v>27486.965952999995</v>
      </c>
      <c r="AB308" s="333">
        <v>14274.886461000002</v>
      </c>
      <c r="AC308" s="333">
        <v>32718.813011000002</v>
      </c>
      <c r="AD308" s="333">
        <v>24132.442243999998</v>
      </c>
      <c r="AE308" s="333">
        <v>32100.748498000001</v>
      </c>
      <c r="AF308" s="333"/>
      <c r="AG308" s="333">
        <v>23360.312864</v>
      </c>
      <c r="AH308" s="333"/>
      <c r="AI308" s="333"/>
      <c r="AJ308" s="333"/>
      <c r="AK308" s="333">
        <v>18286.736013999998</v>
      </c>
      <c r="AL308" s="333"/>
      <c r="AM308" s="333"/>
      <c r="AN308" s="333"/>
      <c r="AO308" s="333">
        <v>46073.184075999998</v>
      </c>
      <c r="AP308" s="333">
        <v>56518.596301999998</v>
      </c>
      <c r="AQ308" s="333">
        <v>90153.552869000006</v>
      </c>
      <c r="AR308" s="333">
        <v>116058.076797</v>
      </c>
      <c r="AS308" s="333">
        <v>90462.117672000008</v>
      </c>
      <c r="AT308" s="333">
        <v>91843.572025000001</v>
      </c>
      <c r="AU308" s="333"/>
      <c r="AV308" s="333"/>
      <c r="AW308" s="333"/>
      <c r="AX308" s="333">
        <v>77585.081577000004</v>
      </c>
      <c r="AY308" s="333"/>
      <c r="AZ308" s="333"/>
      <c r="BA308" s="333"/>
      <c r="BB308" s="333">
        <v>18147.858446000002</v>
      </c>
      <c r="BC308" s="333">
        <v>65569.937411000006</v>
      </c>
      <c r="BD308" s="333">
        <v>59367.928959000004</v>
      </c>
      <c r="BE308" s="333">
        <v>36677.129310000004</v>
      </c>
      <c r="BF308" s="333">
        <v>34716.372189000002</v>
      </c>
      <c r="BG308" s="333"/>
      <c r="BH308" s="333">
        <v>31352.899075999998</v>
      </c>
      <c r="BI308" s="333"/>
      <c r="BJ308" s="333"/>
      <c r="BK308" s="333"/>
      <c r="BL308" s="333">
        <v>14652.714083000001</v>
      </c>
      <c r="BM308" s="333"/>
      <c r="BN308" s="333"/>
    </row>
    <row r="309" spans="1:66">
      <c r="A309" s="333" t="s">
        <v>699</v>
      </c>
      <c r="B309" s="333"/>
      <c r="C309" s="333"/>
      <c r="D309" s="333"/>
      <c r="E309" s="333"/>
      <c r="F309" s="333"/>
      <c r="G309" s="333"/>
      <c r="H309" s="333"/>
      <c r="I309" s="333"/>
      <c r="J309" s="333"/>
      <c r="K309" s="333"/>
      <c r="L309" s="333"/>
      <c r="M309" s="333"/>
      <c r="N309" s="333"/>
      <c r="O309" s="333"/>
      <c r="P309" s="333"/>
      <c r="Q309" s="333"/>
      <c r="R309" s="333"/>
      <c r="S309" s="333"/>
      <c r="T309" s="333"/>
      <c r="U309" s="333"/>
      <c r="V309" s="333"/>
      <c r="W309" s="333"/>
      <c r="X309" s="333"/>
      <c r="Y309" s="333"/>
      <c r="Z309" s="333"/>
      <c r="AA309" s="333"/>
      <c r="AB309" s="333"/>
      <c r="AC309" s="333"/>
      <c r="AD309" s="333"/>
      <c r="AE309" s="333"/>
      <c r="AF309" s="333"/>
      <c r="AG309" s="333"/>
      <c r="AH309" s="333"/>
      <c r="AI309" s="333"/>
      <c r="AJ309" s="333"/>
      <c r="AK309" s="333"/>
      <c r="AL309" s="333"/>
      <c r="AM309" s="333"/>
      <c r="AN309" s="333"/>
      <c r="AO309" s="333"/>
      <c r="AP309" s="333"/>
      <c r="AQ309" s="333"/>
      <c r="AR309" s="333"/>
      <c r="AS309" s="333"/>
      <c r="AT309" s="333"/>
      <c r="AU309" s="333"/>
      <c r="AV309" s="333"/>
      <c r="AW309" s="333"/>
      <c r="AX309" s="333"/>
      <c r="AY309" s="333"/>
      <c r="AZ309" s="333"/>
      <c r="BA309" s="333"/>
      <c r="BB309" s="333"/>
      <c r="BC309" s="333"/>
      <c r="BD309" s="333"/>
      <c r="BE309" s="333"/>
      <c r="BF309" s="333"/>
      <c r="BG309" s="333"/>
      <c r="BH309" s="333"/>
      <c r="BI309" s="333"/>
      <c r="BJ309" s="333"/>
      <c r="BK309" s="333"/>
      <c r="BL309" s="333"/>
      <c r="BM309" s="333"/>
      <c r="BN309" s="333"/>
    </row>
    <row r="310" spans="1:66">
      <c r="A310" s="313" t="s">
        <v>700</v>
      </c>
      <c r="B310" s="313">
        <v>4287.830586</v>
      </c>
      <c r="C310" s="313">
        <v>5420.9660530000001</v>
      </c>
      <c r="D310" s="313">
        <v>1912.3246170000002</v>
      </c>
      <c r="E310" s="313">
        <v>5122.9523749999998</v>
      </c>
      <c r="F310" s="313">
        <v>12577.080245000001</v>
      </c>
      <c r="G310" s="313">
        <v>4601.3597319999999</v>
      </c>
      <c r="J310" s="313">
        <v>0</v>
      </c>
      <c r="N310" s="313">
        <v>4740.2043090000006</v>
      </c>
      <c r="O310" s="313">
        <v>5545.7939399999996</v>
      </c>
      <c r="P310" s="313">
        <v>6545.2202049999996</v>
      </c>
      <c r="Q310" s="313">
        <v>8631.5413470000003</v>
      </c>
      <c r="R310" s="313">
        <v>8830.3355480000009</v>
      </c>
      <c r="S310" s="313">
        <v>7001.0149000000001</v>
      </c>
      <c r="W310" s="313">
        <v>0</v>
      </c>
      <c r="AA310" s="313">
        <v>7506.3078999999998</v>
      </c>
      <c r="AB310" s="313">
        <v>13459.090040000001</v>
      </c>
      <c r="AC310" s="313">
        <v>17934.008909</v>
      </c>
      <c r="AD310" s="313">
        <v>24443.818776</v>
      </c>
      <c r="AE310" s="313">
        <v>15272.244438999998</v>
      </c>
      <c r="AG310" s="313">
        <v>17481.524990999998</v>
      </c>
      <c r="AK310" s="313">
        <v>0</v>
      </c>
      <c r="AO310" s="313">
        <v>22797.798119999999</v>
      </c>
      <c r="AP310" s="313">
        <v>33385.385844999997</v>
      </c>
      <c r="AQ310" s="313">
        <v>43937.244613000003</v>
      </c>
      <c r="AR310" s="313">
        <v>53046.484714999999</v>
      </c>
      <c r="AS310" s="313">
        <v>50361.446203</v>
      </c>
      <c r="AT310" s="313">
        <v>31306.938817000002</v>
      </c>
      <c r="AX310" s="313">
        <v>0</v>
      </c>
      <c r="BB310" s="313">
        <v>7068.6419859999996</v>
      </c>
      <c r="BC310" s="313">
        <v>11136.364476000001</v>
      </c>
      <c r="BD310" s="313">
        <v>-30728.670904000002</v>
      </c>
      <c r="BE310" s="313">
        <v>12216.856711</v>
      </c>
      <c r="BF310" s="313">
        <v>14129.186234999999</v>
      </c>
      <c r="BH310" s="313">
        <v>24436.463030000003</v>
      </c>
      <c r="BL310" s="313">
        <v>0</v>
      </c>
    </row>
    <row r="311" spans="1:66">
      <c r="A311" s="313" t="s">
        <v>701</v>
      </c>
      <c r="B311" s="313">
        <v>402.51776100000001</v>
      </c>
      <c r="C311" s="313">
        <v>963.16732300000001</v>
      </c>
      <c r="D311" s="313">
        <v>1053.7401669999999</v>
      </c>
      <c r="E311" s="313">
        <v>898.80686700000001</v>
      </c>
      <c r="F311" s="313">
        <v>200.484621</v>
      </c>
      <c r="G311" s="313">
        <v>21128.242971</v>
      </c>
      <c r="J311" s="313">
        <v>0</v>
      </c>
      <c r="N311" s="313">
        <v>898.67735399999992</v>
      </c>
      <c r="O311" s="313">
        <v>1004.81213</v>
      </c>
      <c r="P311" s="313">
        <v>1417.4504689999999</v>
      </c>
      <c r="Q311" s="313">
        <v>668.56893300000002</v>
      </c>
      <c r="R311" s="313">
        <v>684.93497600000001</v>
      </c>
      <c r="S311" s="313">
        <v>510.89128499999998</v>
      </c>
      <c r="W311" s="313">
        <v>0</v>
      </c>
      <c r="AA311" s="313">
        <v>1136.672532</v>
      </c>
      <c r="AB311" s="313">
        <v>1431.9099679999999</v>
      </c>
      <c r="AC311" s="313">
        <v>1072.378584</v>
      </c>
      <c r="AD311" s="313">
        <v>2230.2621589999999</v>
      </c>
      <c r="AE311" s="313">
        <v>0</v>
      </c>
      <c r="AG311" s="313">
        <v>33.399062000000001</v>
      </c>
      <c r="AK311" s="313">
        <v>0</v>
      </c>
      <c r="AO311" s="313">
        <v>492.79942999999997</v>
      </c>
      <c r="AP311" s="313">
        <v>5274.153523</v>
      </c>
      <c r="AQ311" s="313">
        <v>3000.2834339999999</v>
      </c>
      <c r="AR311" s="313">
        <v>3457.3392090000002</v>
      </c>
      <c r="AS311" s="313">
        <v>7637.3213620000006</v>
      </c>
      <c r="AT311" s="313">
        <v>12288.746948</v>
      </c>
      <c r="AX311" s="313">
        <v>0</v>
      </c>
      <c r="BB311" s="313">
        <v>1577.049305</v>
      </c>
      <c r="BC311" s="313">
        <v>1412.8859669999999</v>
      </c>
      <c r="BD311" s="313">
        <v>40678.120110000003</v>
      </c>
      <c r="BE311" s="313">
        <v>808.94886900000006</v>
      </c>
      <c r="BF311" s="313">
        <v>2229.008734</v>
      </c>
      <c r="BH311" s="313">
        <v>2739.6097909999999</v>
      </c>
      <c r="BL311" s="313">
        <v>0</v>
      </c>
    </row>
    <row r="312" spans="1:66">
      <c r="A312" s="313" t="s">
        <v>702</v>
      </c>
      <c r="B312" s="313">
        <v>426.01393540000004</v>
      </c>
      <c r="C312" s="313">
        <v>474.32235700000001</v>
      </c>
      <c r="D312" s="313">
        <v>511.452855</v>
      </c>
      <c r="E312" s="313">
        <v>489.65314900000004</v>
      </c>
      <c r="F312" s="313">
        <v>857.24721199999988</v>
      </c>
      <c r="G312" s="313">
        <v>1209.950611</v>
      </c>
      <c r="J312" s="313">
        <v>0</v>
      </c>
      <c r="N312" s="313">
        <v>304.36111899999997</v>
      </c>
      <c r="O312" s="313">
        <v>224.04262400000002</v>
      </c>
      <c r="P312" s="313">
        <v>232.70553199999998</v>
      </c>
      <c r="Q312" s="313">
        <v>427.781384</v>
      </c>
      <c r="R312" s="313">
        <v>647.01264000000003</v>
      </c>
      <c r="S312" s="313">
        <v>1382.5008619999999</v>
      </c>
      <c r="W312" s="313">
        <v>0</v>
      </c>
      <c r="AA312" s="313">
        <v>1111.6245369999999</v>
      </c>
      <c r="AB312" s="313">
        <v>1315.9117779999999</v>
      </c>
      <c r="AC312" s="313">
        <v>1316.7140320000001</v>
      </c>
      <c r="AD312" s="313">
        <v>2216.833517</v>
      </c>
      <c r="AE312" s="313">
        <v>2848.702006</v>
      </c>
      <c r="AG312" s="313">
        <v>2670.2759579999997</v>
      </c>
      <c r="AK312" s="313">
        <v>0</v>
      </c>
      <c r="AO312" s="313">
        <v>776.70782899999995</v>
      </c>
      <c r="AP312" s="313">
        <v>932.94831799999997</v>
      </c>
      <c r="AQ312" s="313">
        <v>1512.376534</v>
      </c>
      <c r="AR312" s="313">
        <v>1791.8219140000001</v>
      </c>
      <c r="AS312" s="313">
        <v>2471.5314659999999</v>
      </c>
      <c r="AT312" s="313">
        <v>3404.0745060000004</v>
      </c>
      <c r="AX312" s="313">
        <v>0</v>
      </c>
      <c r="BB312" s="313">
        <v>305.2559</v>
      </c>
      <c r="BC312" s="313">
        <v>220.75356099999999</v>
      </c>
      <c r="BD312" s="313">
        <v>168.82916699999998</v>
      </c>
      <c r="BE312" s="313">
        <v>127.864425</v>
      </c>
      <c r="BF312" s="313">
        <v>152.439029</v>
      </c>
      <c r="BH312" s="313">
        <v>476.23301500000002</v>
      </c>
      <c r="BL312" s="313">
        <v>0</v>
      </c>
    </row>
    <row r="313" spans="1:66">
      <c r="A313" s="313" t="s">
        <v>703</v>
      </c>
      <c r="B313" s="313">
        <v>69.845236</v>
      </c>
      <c r="C313" s="313">
        <v>85.799652000000009</v>
      </c>
      <c r="D313" s="313">
        <v>85.929843000000005</v>
      </c>
      <c r="E313" s="313">
        <v>103.9898</v>
      </c>
      <c r="F313" s="313">
        <v>421.17824100000001</v>
      </c>
      <c r="G313" s="313">
        <v>460.58012199999996</v>
      </c>
      <c r="J313" s="313">
        <v>0</v>
      </c>
      <c r="N313" s="313">
        <v>11.414525999999999</v>
      </c>
      <c r="O313" s="313">
        <v>20.804839999999999</v>
      </c>
      <c r="P313" s="313">
        <v>20.344730999999999</v>
      </c>
      <c r="Q313" s="313">
        <v>59.595032999999994</v>
      </c>
      <c r="R313" s="313">
        <v>253.873648</v>
      </c>
      <c r="S313" s="313">
        <v>569.09863099999995</v>
      </c>
      <c r="W313" s="313">
        <v>0</v>
      </c>
      <c r="AA313" s="313">
        <v>7388.5675799999999</v>
      </c>
      <c r="AB313" s="313">
        <v>8194.6937830000006</v>
      </c>
      <c r="AC313" s="313">
        <v>8972.4688230000011</v>
      </c>
      <c r="AD313" s="313">
        <v>9674.291303</v>
      </c>
      <c r="AE313" s="313">
        <v>10451.384419</v>
      </c>
      <c r="AG313" s="313">
        <v>10052.341962999999</v>
      </c>
      <c r="AK313" s="313">
        <v>0</v>
      </c>
      <c r="AO313" s="313">
        <v>2086.4870209999999</v>
      </c>
      <c r="AP313" s="313">
        <v>2683.716617</v>
      </c>
      <c r="AQ313" s="313">
        <v>4395.3191059999999</v>
      </c>
      <c r="AR313" s="313">
        <v>6531.2411189999993</v>
      </c>
      <c r="AS313" s="313">
        <v>10989.596342000001</v>
      </c>
      <c r="AT313" s="313">
        <v>14704.240526</v>
      </c>
      <c r="AX313" s="313">
        <v>0</v>
      </c>
      <c r="BB313" s="313">
        <v>718.785213</v>
      </c>
      <c r="BC313" s="313">
        <v>924.63886999999988</v>
      </c>
      <c r="BD313" s="313">
        <v>1058.07295</v>
      </c>
      <c r="BE313" s="313">
        <v>871.30632400000002</v>
      </c>
      <c r="BF313" s="313">
        <v>721.71277300000008</v>
      </c>
      <c r="BH313" s="313">
        <v>842.35818800000004</v>
      </c>
      <c r="BL313" s="313">
        <v>0</v>
      </c>
    </row>
    <row r="314" spans="1:66">
      <c r="A314" s="313" t="s">
        <v>704</v>
      </c>
      <c r="B314" s="313">
        <v>8.8223199999999995</v>
      </c>
      <c r="C314" s="313">
        <v>8.0933279999999996</v>
      </c>
      <c r="D314" s="313">
        <v>9.063993</v>
      </c>
      <c r="E314" s="313">
        <v>9.6320759999999996</v>
      </c>
      <c r="F314" s="313">
        <v>73.769869</v>
      </c>
      <c r="G314" s="313">
        <v>86.150592000000003</v>
      </c>
      <c r="J314" s="313">
        <v>0</v>
      </c>
      <c r="N314" s="313">
        <v>166.91138799999999</v>
      </c>
      <c r="O314" s="313">
        <v>240.289896</v>
      </c>
      <c r="P314" s="313">
        <v>248.89798900000002</v>
      </c>
      <c r="Q314" s="313">
        <v>222.00548199999997</v>
      </c>
      <c r="R314" s="313">
        <v>232.44896699999998</v>
      </c>
      <c r="S314" s="313">
        <v>183.58432500000001</v>
      </c>
      <c r="W314" s="313">
        <v>0</v>
      </c>
      <c r="AA314" s="313">
        <v>104.376634</v>
      </c>
      <c r="AB314" s="313">
        <v>54.139932999999999</v>
      </c>
      <c r="AC314" s="313">
        <v>165.11383000000001</v>
      </c>
      <c r="AD314" s="313">
        <v>303.67017700000002</v>
      </c>
      <c r="AE314" s="313">
        <v>578.09290799999997</v>
      </c>
      <c r="AG314" s="313">
        <v>780.21698200000003</v>
      </c>
      <c r="AK314" s="313">
        <v>0</v>
      </c>
      <c r="AO314" s="313">
        <v>30.80912</v>
      </c>
      <c r="AP314" s="313">
        <v>78.119138000000007</v>
      </c>
      <c r="AQ314" s="313">
        <v>548.72672699999998</v>
      </c>
      <c r="AR314" s="313">
        <v>650.89744699999994</v>
      </c>
      <c r="AS314" s="313">
        <v>559.638104</v>
      </c>
      <c r="AT314" s="313">
        <v>446.64690599999994</v>
      </c>
      <c r="AX314" s="313">
        <v>0</v>
      </c>
      <c r="BB314" s="313">
        <v>137.257273</v>
      </c>
      <c r="BC314" s="313">
        <v>140.15104700000001</v>
      </c>
      <c r="BD314" s="313">
        <v>24.135075000000001</v>
      </c>
      <c r="BE314" s="313">
        <v>17.001011999999999</v>
      </c>
      <c r="BF314" s="313">
        <v>14.167496</v>
      </c>
      <c r="BH314" s="313">
        <v>94.320746</v>
      </c>
      <c r="BL314" s="313">
        <v>0</v>
      </c>
    </row>
    <row r="315" spans="1:66">
      <c r="A315" s="313" t="s">
        <v>705</v>
      </c>
      <c r="B315" s="313">
        <v>8.3614679999999986</v>
      </c>
      <c r="C315" s="313">
        <v>0</v>
      </c>
      <c r="D315" s="313">
        <v>-1.4806820000000001</v>
      </c>
      <c r="E315" s="313">
        <v>0.133964</v>
      </c>
      <c r="F315" s="313">
        <v>18.737389</v>
      </c>
      <c r="G315" s="313">
        <v>75.14734</v>
      </c>
      <c r="J315" s="313">
        <v>0</v>
      </c>
      <c r="N315" s="313">
        <v>6.2486300000000004</v>
      </c>
      <c r="O315" s="313">
        <v>8.1340679999999992</v>
      </c>
      <c r="P315" s="313">
        <v>0.38846999999999998</v>
      </c>
      <c r="Q315" s="313">
        <v>-4.9360000000000001E-2</v>
      </c>
      <c r="R315" s="313">
        <v>3.3839999999999995E-2</v>
      </c>
      <c r="S315" s="313">
        <v>4.2076000000000002</v>
      </c>
      <c r="W315" s="313">
        <v>0</v>
      </c>
      <c r="AA315" s="313">
        <v>22.314679999999999</v>
      </c>
      <c r="AB315" s="313">
        <v>26.675640000000001</v>
      </c>
      <c r="AC315" s="313">
        <v>34.828876000000001</v>
      </c>
      <c r="AD315" s="313">
        <v>0.89924799999999994</v>
      </c>
      <c r="AE315" s="313">
        <v>0.24784699999999998</v>
      </c>
      <c r="AG315" s="313">
        <v>124.090046</v>
      </c>
      <c r="AK315" s="313">
        <v>0</v>
      </c>
      <c r="AO315" s="313">
        <v>5.8874660000000008</v>
      </c>
      <c r="AP315" s="313">
        <v>6.521903</v>
      </c>
      <c r="AQ315" s="313">
        <v>29.496176000000002</v>
      </c>
      <c r="AR315" s="313">
        <v>-32.189665000000005</v>
      </c>
      <c r="AS315" s="313">
        <v>-50.304759999999995</v>
      </c>
      <c r="AT315" s="313">
        <v>25.664283999999999</v>
      </c>
      <c r="AX315" s="313">
        <v>0</v>
      </c>
      <c r="BB315" s="313">
        <v>78.522633999999996</v>
      </c>
      <c r="BC315" s="313">
        <v>129.004671</v>
      </c>
      <c r="BD315" s="313">
        <v>-18.348406000000001</v>
      </c>
      <c r="BE315" s="313">
        <v>0</v>
      </c>
      <c r="BF315" s="313">
        <v>0</v>
      </c>
      <c r="BH315" s="313">
        <v>-4.0155000000000003E-2</v>
      </c>
      <c r="BL315" s="313">
        <v>0</v>
      </c>
    </row>
    <row r="316" spans="1:66">
      <c r="A316" s="313" t="s">
        <v>706</v>
      </c>
      <c r="B316" s="313">
        <v>0</v>
      </c>
      <c r="C316" s="313">
        <v>0</v>
      </c>
      <c r="D316" s="313">
        <v>0</v>
      </c>
      <c r="E316" s="313">
        <v>0</v>
      </c>
      <c r="F316" s="313">
        <v>0</v>
      </c>
      <c r="G316" s="313">
        <v>0.12862799999999999</v>
      </c>
      <c r="J316" s="313">
        <v>0</v>
      </c>
      <c r="N316" s="313">
        <v>0</v>
      </c>
      <c r="O316" s="313">
        <v>0</v>
      </c>
      <c r="P316" s="313">
        <v>11.753209</v>
      </c>
      <c r="Q316" s="313">
        <v>38.226265000000005</v>
      </c>
      <c r="R316" s="313">
        <v>3.8970250000000002</v>
      </c>
      <c r="S316" s="313">
        <v>0</v>
      </c>
      <c r="W316" s="313">
        <v>0</v>
      </c>
      <c r="AA316" s="313">
        <v>0</v>
      </c>
      <c r="AB316" s="313">
        <v>0</v>
      </c>
      <c r="AC316" s="313">
        <v>0</v>
      </c>
      <c r="AD316" s="313">
        <v>6.8441539999999996</v>
      </c>
      <c r="AE316" s="313">
        <v>38.396211999999998</v>
      </c>
      <c r="AG316" s="313">
        <v>3.0478669999999997</v>
      </c>
      <c r="AK316" s="313">
        <v>0</v>
      </c>
      <c r="AO316" s="313">
        <v>0</v>
      </c>
      <c r="AP316" s="313">
        <v>0</v>
      </c>
      <c r="AQ316" s="313">
        <v>0</v>
      </c>
      <c r="AR316" s="313">
        <v>16.332720999999999</v>
      </c>
      <c r="AS316" s="313">
        <v>10.308060000000001</v>
      </c>
      <c r="AT316" s="313">
        <v>9.6820649999999997</v>
      </c>
      <c r="AX316" s="313">
        <v>0</v>
      </c>
      <c r="BB316" s="313">
        <v>0</v>
      </c>
      <c r="BC316" s="313">
        <v>0</v>
      </c>
      <c r="BD316" s="313">
        <v>0</v>
      </c>
      <c r="BE316" s="313">
        <v>0</v>
      </c>
      <c r="BF316" s="313">
        <v>4.7696249999999996</v>
      </c>
      <c r="BH316" s="313">
        <v>17.575801999999999</v>
      </c>
      <c r="BL316" s="313">
        <v>0</v>
      </c>
    </row>
    <row r="317" spans="1:66">
      <c r="A317" s="313" t="s">
        <v>707</v>
      </c>
      <c r="B317" s="313">
        <v>0</v>
      </c>
      <c r="C317" s="313">
        <v>0</v>
      </c>
      <c r="D317" s="313">
        <v>0</v>
      </c>
      <c r="E317" s="313">
        <v>0</v>
      </c>
      <c r="F317" s="313">
        <v>-1606.330359</v>
      </c>
      <c r="G317" s="313">
        <v>-10406.393110999999</v>
      </c>
      <c r="J317" s="313">
        <v>0</v>
      </c>
      <c r="N317" s="313">
        <v>0</v>
      </c>
      <c r="O317" s="313">
        <v>0</v>
      </c>
      <c r="P317" s="313">
        <v>0</v>
      </c>
      <c r="Q317" s="313">
        <v>0</v>
      </c>
      <c r="R317" s="313">
        <v>0</v>
      </c>
      <c r="S317" s="313">
        <v>0</v>
      </c>
      <c r="W317" s="313">
        <v>0</v>
      </c>
      <c r="AA317" s="313">
        <v>0</v>
      </c>
      <c r="AB317" s="313">
        <v>0</v>
      </c>
      <c r="AC317" s="313">
        <v>79.212199999999996</v>
      </c>
      <c r="AD317" s="313">
        <v>138.74760000000001</v>
      </c>
      <c r="AE317" s="313">
        <v>-51.0336</v>
      </c>
      <c r="AG317" s="313">
        <v>-196.69579999999999</v>
      </c>
      <c r="AK317" s="313">
        <v>0</v>
      </c>
      <c r="AO317" s="313">
        <v>0</v>
      </c>
      <c r="AP317" s="313">
        <v>0</v>
      </c>
      <c r="AQ317" s="313">
        <v>0</v>
      </c>
      <c r="AR317" s="313">
        <v>0</v>
      </c>
      <c r="AS317" s="313">
        <v>0</v>
      </c>
      <c r="AT317" s="313">
        <v>0</v>
      </c>
      <c r="AX317" s="313">
        <v>0</v>
      </c>
      <c r="BB317" s="313">
        <v>0</v>
      </c>
      <c r="BC317" s="313">
        <v>0</v>
      </c>
      <c r="BD317" s="313">
        <v>0</v>
      </c>
      <c r="BE317" s="313">
        <v>0</v>
      </c>
      <c r="BF317" s="313">
        <v>0</v>
      </c>
      <c r="BH317" s="313">
        <v>0</v>
      </c>
      <c r="BL317" s="313">
        <v>0</v>
      </c>
    </row>
    <row r="318" spans="1:66">
      <c r="A318" s="313" t="s">
        <v>708</v>
      </c>
      <c r="B318" s="313">
        <v>-24.526878</v>
      </c>
      <c r="C318" s="313">
        <v>-145.84432900000002</v>
      </c>
      <c r="D318" s="313">
        <v>-288.68751700000001</v>
      </c>
      <c r="E318" s="313">
        <v>381.82498799999996</v>
      </c>
      <c r="F318" s="313">
        <v>603.88847300000009</v>
      </c>
      <c r="G318" s="313">
        <v>441.27075400000001</v>
      </c>
      <c r="J318" s="313">
        <v>0</v>
      </c>
      <c r="N318" s="313">
        <v>1291.874472</v>
      </c>
      <c r="O318" s="313">
        <v>1260.1275619999999</v>
      </c>
      <c r="P318" s="313">
        <v>995.30921400000011</v>
      </c>
      <c r="Q318" s="313">
        <v>990.01589700000011</v>
      </c>
      <c r="R318" s="313">
        <v>2032.164818</v>
      </c>
      <c r="S318" s="313">
        <v>3516.1837450000003</v>
      </c>
      <c r="W318" s="313">
        <v>0</v>
      </c>
      <c r="AA318" s="313">
        <v>1845.2999850000001</v>
      </c>
      <c r="AB318" s="313">
        <v>3002.0695329999999</v>
      </c>
      <c r="AC318" s="313">
        <v>1465.900989</v>
      </c>
      <c r="AD318" s="313">
        <v>4632.513919</v>
      </c>
      <c r="AE318" s="313">
        <v>6873.9813000000004</v>
      </c>
      <c r="AG318" s="313">
        <v>6725.3301860000001</v>
      </c>
      <c r="AK318" s="313">
        <v>0</v>
      </c>
      <c r="AO318" s="313">
        <v>697.14395999999999</v>
      </c>
      <c r="AP318" s="313">
        <v>-67.935845</v>
      </c>
      <c r="AQ318" s="313">
        <v>766.34025700000007</v>
      </c>
      <c r="AR318" s="313">
        <v>919.91487699999993</v>
      </c>
      <c r="AS318" s="313">
        <v>2357.5976460000002</v>
      </c>
      <c r="AT318" s="313">
        <v>3497.0269200000002</v>
      </c>
      <c r="AX318" s="313">
        <v>0</v>
      </c>
      <c r="BB318" s="313">
        <v>39.455554999999997</v>
      </c>
      <c r="BC318" s="313">
        <v>7.7332999999999999E-2</v>
      </c>
      <c r="BD318" s="313">
        <v>0</v>
      </c>
      <c r="BE318" s="313">
        <v>254.77694600000001</v>
      </c>
      <c r="BF318" s="313">
        <v>995.23422400000004</v>
      </c>
      <c r="BH318" s="313">
        <v>97.542192</v>
      </c>
      <c r="BL318" s="313">
        <v>0</v>
      </c>
    </row>
    <row r="319" spans="1:66">
      <c r="A319" s="313" t="s">
        <v>709</v>
      </c>
      <c r="B319" s="313">
        <v>0</v>
      </c>
      <c r="C319" s="313">
        <v>-105.35732299999999</v>
      </c>
      <c r="D319" s="313">
        <v>-250.252779</v>
      </c>
      <c r="E319" s="313">
        <v>-409.46401200000003</v>
      </c>
      <c r="F319" s="313">
        <v>-180.04136200000002</v>
      </c>
      <c r="G319" s="313">
        <v>-1812.8235140000002</v>
      </c>
      <c r="J319" s="313">
        <v>0</v>
      </c>
      <c r="N319" s="313">
        <v>-27.748857000000001</v>
      </c>
      <c r="O319" s="313">
        <v>-17.026429</v>
      </c>
      <c r="P319" s="313">
        <v>-147.07453100000001</v>
      </c>
      <c r="Q319" s="313">
        <v>-176.636054</v>
      </c>
      <c r="R319" s="313">
        <v>43.504071000000003</v>
      </c>
      <c r="S319" s="313">
        <v>168.10294299999998</v>
      </c>
      <c r="W319" s="313">
        <v>0</v>
      </c>
      <c r="AA319" s="313">
        <v>-268.27403500000003</v>
      </c>
      <c r="AB319" s="313">
        <v>-1940.2756870000001</v>
      </c>
      <c r="AC319" s="313">
        <v>-732.87540300000001</v>
      </c>
      <c r="AD319" s="313">
        <v>-150.40562</v>
      </c>
      <c r="AE319" s="313">
        <v>-741.10663</v>
      </c>
      <c r="AG319" s="313">
        <v>-511.12789900000001</v>
      </c>
      <c r="AK319" s="313">
        <v>0</v>
      </c>
      <c r="AO319" s="313">
        <v>121.43465900000001</v>
      </c>
      <c r="AP319" s="313">
        <v>-1427.876986</v>
      </c>
      <c r="AQ319" s="313">
        <v>-3430.4377039999999</v>
      </c>
      <c r="AR319" s="313">
        <v>-3598.7314299999998</v>
      </c>
      <c r="AS319" s="313">
        <v>-1987.0538199999999</v>
      </c>
      <c r="AT319" s="313">
        <v>-1153.0591850000001</v>
      </c>
      <c r="AX319" s="313">
        <v>0</v>
      </c>
      <c r="BB319" s="313">
        <v>-3.2449720000000002</v>
      </c>
      <c r="BC319" s="313">
        <v>-19.723606</v>
      </c>
      <c r="BD319" s="313">
        <v>395.50107599999996</v>
      </c>
      <c r="BE319" s="313">
        <v>30.090305999999998</v>
      </c>
      <c r="BF319" s="313">
        <v>-124.802044</v>
      </c>
      <c r="BH319" s="313">
        <v>74.619966000000005</v>
      </c>
      <c r="BL319" s="313">
        <v>0</v>
      </c>
    </row>
    <row r="320" spans="1:66">
      <c r="A320" s="313" t="s">
        <v>710</v>
      </c>
      <c r="B320" s="313">
        <v>-213.09606000000002</v>
      </c>
      <c r="C320" s="313">
        <v>-295.683558</v>
      </c>
      <c r="D320" s="313">
        <v>-347.28893099999999</v>
      </c>
      <c r="E320" s="313">
        <v>-484.841971</v>
      </c>
      <c r="F320" s="313">
        <v>-448.92218800000001</v>
      </c>
      <c r="G320" s="313">
        <v>-564.03706599999998</v>
      </c>
      <c r="J320" s="313">
        <v>0</v>
      </c>
      <c r="N320" s="313">
        <v>-141.755719</v>
      </c>
      <c r="O320" s="313">
        <v>89.946834999999993</v>
      </c>
      <c r="P320" s="313">
        <v>-12.580596</v>
      </c>
      <c r="Q320" s="313">
        <v>-21.367754000000001</v>
      </c>
      <c r="R320" s="313">
        <v>-8.1852350000000005</v>
      </c>
      <c r="S320" s="313">
        <v>69.576036999999999</v>
      </c>
      <c r="W320" s="313">
        <v>0</v>
      </c>
      <c r="AA320" s="313">
        <v>-1019.1530529999999</v>
      </c>
      <c r="AB320" s="313">
        <v>-1490.9065480000002</v>
      </c>
      <c r="AC320" s="313">
        <v>-797.46786500000007</v>
      </c>
      <c r="AD320" s="313">
        <v>-205.87815499999999</v>
      </c>
      <c r="AE320" s="313">
        <v>-482.266276</v>
      </c>
      <c r="AG320" s="313">
        <v>-565.56062099999997</v>
      </c>
      <c r="AK320" s="313">
        <v>0</v>
      </c>
      <c r="AO320" s="313">
        <v>46.827246000000002</v>
      </c>
      <c r="AP320" s="313">
        <v>32.468074000000001</v>
      </c>
      <c r="AQ320" s="313">
        <v>-250.48766600000002</v>
      </c>
      <c r="AR320" s="313">
        <v>-1100.242266</v>
      </c>
      <c r="AS320" s="313">
        <v>-1011.2733529999999</v>
      </c>
      <c r="AT320" s="313">
        <v>-708.12420099999997</v>
      </c>
      <c r="AX320" s="313">
        <v>0</v>
      </c>
      <c r="BB320" s="313">
        <v>-183.43470600000001</v>
      </c>
      <c r="BC320" s="313">
        <v>-22.385558</v>
      </c>
      <c r="BD320" s="313">
        <v>-56.371696999999998</v>
      </c>
      <c r="BE320" s="313">
        <v>-233.38855800000002</v>
      </c>
      <c r="BF320" s="313">
        <v>-2105.18489</v>
      </c>
      <c r="BH320" s="313">
        <v>-900.80000099999995</v>
      </c>
      <c r="BL320" s="313">
        <v>0</v>
      </c>
    </row>
    <row r="321" spans="1:66">
      <c r="A321" s="313" t="s">
        <v>711</v>
      </c>
      <c r="B321" s="313">
        <v>1.776243</v>
      </c>
      <c r="C321" s="313">
        <v>9.7678210000000014</v>
      </c>
      <c r="D321" s="313">
        <v>-4.4085179999999999</v>
      </c>
      <c r="E321" s="313">
        <v>1.895373</v>
      </c>
      <c r="F321" s="313">
        <v>156.836164</v>
      </c>
      <c r="G321" s="313">
        <v>-281.63473700000003</v>
      </c>
      <c r="J321" s="313">
        <v>0</v>
      </c>
      <c r="N321" s="313">
        <v>0</v>
      </c>
      <c r="O321" s="313">
        <v>0</v>
      </c>
      <c r="P321" s="313">
        <v>0</v>
      </c>
      <c r="Q321" s="313">
        <v>-10.356271000000001</v>
      </c>
      <c r="R321" s="313">
        <v>-42.431414000000004</v>
      </c>
      <c r="S321" s="313">
        <v>-20.508600000000001</v>
      </c>
      <c r="W321" s="313">
        <v>0</v>
      </c>
      <c r="AA321" s="313">
        <v>0</v>
      </c>
      <c r="AB321" s="313">
        <v>0</v>
      </c>
      <c r="AC321" s="313">
        <v>0</v>
      </c>
      <c r="AD321" s="313">
        <v>0</v>
      </c>
      <c r="AE321" s="313">
        <v>492.89383099999998</v>
      </c>
      <c r="AG321" s="313">
        <v>44.634</v>
      </c>
      <c r="AK321" s="313">
        <v>0</v>
      </c>
      <c r="AO321" s="313">
        <v>0</v>
      </c>
      <c r="AP321" s="313">
        <v>0</v>
      </c>
      <c r="AQ321" s="313">
        <v>0</v>
      </c>
      <c r="AR321" s="313">
        <v>178.74351399999998</v>
      </c>
      <c r="AS321" s="313">
        <v>212.15124500000002</v>
      </c>
      <c r="AT321" s="313">
        <v>716.68974300000002</v>
      </c>
      <c r="AX321" s="313">
        <v>0</v>
      </c>
      <c r="BB321" s="313">
        <v>-70.481488999999996</v>
      </c>
      <c r="BC321" s="313">
        <v>-0.48188999999999999</v>
      </c>
      <c r="BD321" s="313">
        <v>-100.481489</v>
      </c>
      <c r="BE321" s="313">
        <v>-7.097650999999999</v>
      </c>
      <c r="BF321" s="313">
        <v>-18.063500000000001</v>
      </c>
      <c r="BH321" s="313">
        <v>-8.0634999999999994</v>
      </c>
      <c r="BL321" s="313">
        <v>0</v>
      </c>
    </row>
    <row r="322" spans="1:66">
      <c r="A322" s="313" t="s">
        <v>712</v>
      </c>
      <c r="B322" s="313">
        <v>554.54054699999995</v>
      </c>
      <c r="C322" s="313">
        <v>-350.89659999999998</v>
      </c>
      <c r="D322" s="313">
        <v>-11272.098476000001</v>
      </c>
      <c r="E322" s="313">
        <v>3129.556482</v>
      </c>
      <c r="F322" s="313">
        <v>2891.9859999999999</v>
      </c>
      <c r="G322" s="313">
        <v>-156.325943</v>
      </c>
      <c r="J322" s="313">
        <v>0</v>
      </c>
      <c r="N322" s="313">
        <v>-3876.8779950000003</v>
      </c>
      <c r="O322" s="313">
        <v>1896.4857760000002</v>
      </c>
      <c r="P322" s="313">
        <v>750.12794099999996</v>
      </c>
      <c r="Q322" s="313">
        <v>-2187.4670780000001</v>
      </c>
      <c r="R322" s="313">
        <v>-1346.473309</v>
      </c>
      <c r="S322" s="313">
        <v>-10353.883256000001</v>
      </c>
      <c r="W322" s="313">
        <v>0</v>
      </c>
      <c r="AA322" s="313">
        <v>-14228.715221</v>
      </c>
      <c r="AB322" s="313">
        <v>-17271.759641999997</v>
      </c>
      <c r="AC322" s="313">
        <v>5134.7007780000004</v>
      </c>
      <c r="AD322" s="313">
        <v>-32643.212022000003</v>
      </c>
      <c r="AE322" s="313">
        <v>-35127.219938999995</v>
      </c>
      <c r="AG322" s="313">
        <v>-52795.377850999997</v>
      </c>
      <c r="AK322" s="313">
        <v>0</v>
      </c>
      <c r="AO322" s="313">
        <v>-5823.1123250000001</v>
      </c>
      <c r="AP322" s="313">
        <v>-2495.2406289999999</v>
      </c>
      <c r="AQ322" s="313">
        <v>-5499.4875600000005</v>
      </c>
      <c r="AR322" s="313">
        <v>-4147.0579159999998</v>
      </c>
      <c r="AS322" s="313">
        <v>-13864.014881999999</v>
      </c>
      <c r="AT322" s="313">
        <v>-16751.38089</v>
      </c>
      <c r="AX322" s="313">
        <v>0</v>
      </c>
      <c r="BB322" s="313">
        <v>190.74198100000001</v>
      </c>
      <c r="BC322" s="313">
        <v>-403.53720199999998</v>
      </c>
      <c r="BD322" s="313">
        <v>-1716.9803359999999</v>
      </c>
      <c r="BE322" s="313">
        <v>-532.88992000000007</v>
      </c>
      <c r="BF322" s="313">
        <v>1063.824306</v>
      </c>
      <c r="BH322" s="313">
        <v>-5675.1389710000003</v>
      </c>
      <c r="BL322" s="313">
        <v>0</v>
      </c>
    </row>
    <row r="323" spans="1:66">
      <c r="A323" s="313" t="s">
        <v>713</v>
      </c>
      <c r="B323" s="313">
        <v>-6091.4460899999995</v>
      </c>
      <c r="C323" s="313">
        <v>-1290.725739</v>
      </c>
      <c r="D323" s="313">
        <v>-7449.7226650000002</v>
      </c>
      <c r="E323" s="313">
        <v>-11097.261210999999</v>
      </c>
      <c r="F323" s="313">
        <v>-12154.395022000001</v>
      </c>
      <c r="G323" s="313">
        <v>-8124.7304510000004</v>
      </c>
      <c r="J323" s="313">
        <v>0</v>
      </c>
      <c r="N323" s="313">
        <v>-6034.981976</v>
      </c>
      <c r="O323" s="313">
        <v>-3021.7839079999999</v>
      </c>
      <c r="P323" s="313">
        <v>-10814.774545999999</v>
      </c>
      <c r="Q323" s="313">
        <v>-1671.0700899999999</v>
      </c>
      <c r="R323" s="313">
        <v>-2221.837078</v>
      </c>
      <c r="S323" s="313">
        <v>4201.9870000000001</v>
      </c>
      <c r="W323" s="313">
        <v>0</v>
      </c>
      <c r="AA323" s="313">
        <v>-12277.379101999999</v>
      </c>
      <c r="AB323" s="313">
        <v>-20536.959239</v>
      </c>
      <c r="AC323" s="313">
        <v>-3556.7314740000002</v>
      </c>
      <c r="AD323" s="313">
        <v>-25213.519577999999</v>
      </c>
      <c r="AE323" s="313">
        <v>-7885.7602689999994</v>
      </c>
      <c r="AG323" s="313">
        <v>16568.472711000002</v>
      </c>
      <c r="AK323" s="313">
        <v>0</v>
      </c>
      <c r="AO323" s="313">
        <v>-17672.642002000001</v>
      </c>
      <c r="AP323" s="313">
        <v>-31570.861811000002</v>
      </c>
      <c r="AQ323" s="313">
        <v>-19870.586299999999</v>
      </c>
      <c r="AR323" s="313">
        <v>-51983.125310000003</v>
      </c>
      <c r="AS323" s="313">
        <v>-30021.001650999999</v>
      </c>
      <c r="AT323" s="313">
        <v>-16654.604447000002</v>
      </c>
      <c r="AX323" s="313">
        <v>0</v>
      </c>
      <c r="BB323" s="313">
        <v>-4991.7476310000002</v>
      </c>
      <c r="BC323" s="313">
        <v>875.42557699999998</v>
      </c>
      <c r="BD323" s="313">
        <v>2024.6820129999999</v>
      </c>
      <c r="BE323" s="313">
        <v>-4523.0521040000003</v>
      </c>
      <c r="BF323" s="313">
        <v>-12000.807859</v>
      </c>
      <c r="BH323" s="313">
        <v>-16887.681752</v>
      </c>
      <c r="BL323" s="313">
        <v>0</v>
      </c>
    </row>
    <row r="324" spans="1:66">
      <c r="A324" s="313" t="s">
        <v>715</v>
      </c>
      <c r="B324" s="313">
        <v>0</v>
      </c>
      <c r="C324" s="313">
        <v>0</v>
      </c>
      <c r="D324" s="313">
        <v>0</v>
      </c>
      <c r="E324" s="313">
        <v>0</v>
      </c>
      <c r="F324" s="313">
        <v>0</v>
      </c>
      <c r="G324" s="313">
        <v>0</v>
      </c>
      <c r="J324" s="313">
        <v>0</v>
      </c>
      <c r="N324" s="313">
        <v>428.67392899999999</v>
      </c>
      <c r="O324" s="313">
        <v>428.67392999999998</v>
      </c>
      <c r="P324" s="313">
        <v>16.348219</v>
      </c>
      <c r="Q324" s="313">
        <v>230.47138100000001</v>
      </c>
      <c r="R324" s="313">
        <v>356.36523700000004</v>
      </c>
      <c r="S324" s="313">
        <v>24.148125</v>
      </c>
      <c r="W324" s="313">
        <v>0</v>
      </c>
      <c r="AA324" s="313">
        <v>0</v>
      </c>
      <c r="AB324" s="313">
        <v>0</v>
      </c>
      <c r="AC324" s="313">
        <v>0</v>
      </c>
      <c r="AD324" s="313">
        <v>0</v>
      </c>
      <c r="AE324" s="313">
        <v>-355.03638999999998</v>
      </c>
      <c r="AG324" s="313">
        <v>-466.74738099999996</v>
      </c>
      <c r="AK324" s="313">
        <v>0</v>
      </c>
      <c r="AO324" s="313">
        <v>0</v>
      </c>
      <c r="AP324" s="313">
        <v>0</v>
      </c>
      <c r="AQ324" s="313">
        <v>-360.68490400000002</v>
      </c>
      <c r="AR324" s="313">
        <v>3843.3566630000005</v>
      </c>
      <c r="AS324" s="313">
        <v>4823.3552460000001</v>
      </c>
      <c r="AT324" s="313">
        <v>-893.20636400000001</v>
      </c>
      <c r="AX324" s="313">
        <v>0</v>
      </c>
      <c r="BB324" s="313">
        <v>0</v>
      </c>
      <c r="BC324" s="313">
        <v>0</v>
      </c>
      <c r="BD324" s="313">
        <v>0</v>
      </c>
      <c r="BE324" s="313">
        <v>0</v>
      </c>
      <c r="BF324" s="313">
        <v>0</v>
      </c>
      <c r="BH324" s="313">
        <v>0</v>
      </c>
      <c r="BL324" s="313">
        <v>0</v>
      </c>
    </row>
    <row r="325" spans="1:66">
      <c r="A325" s="313" t="s">
        <v>716</v>
      </c>
      <c r="B325" s="313">
        <v>0</v>
      </c>
      <c r="C325" s="313">
        <v>694.06</v>
      </c>
      <c r="D325" s="313">
        <v>3116.34</v>
      </c>
      <c r="E325" s="313">
        <v>0</v>
      </c>
      <c r="F325" s="313">
        <v>0</v>
      </c>
      <c r="G325" s="313">
        <v>0</v>
      </c>
      <c r="J325" s="313">
        <v>0</v>
      </c>
      <c r="N325" s="313">
        <v>0</v>
      </c>
      <c r="O325" s="313">
        <v>0</v>
      </c>
      <c r="P325" s="313">
        <v>0</v>
      </c>
      <c r="Q325" s="313">
        <v>0</v>
      </c>
      <c r="R325" s="313">
        <v>0</v>
      </c>
      <c r="S325" s="313">
        <v>0</v>
      </c>
      <c r="W325" s="313">
        <v>0</v>
      </c>
      <c r="AA325" s="313">
        <v>0</v>
      </c>
      <c r="AB325" s="313">
        <v>0</v>
      </c>
      <c r="AC325" s="313">
        <v>0</v>
      </c>
      <c r="AD325" s="313">
        <v>0</v>
      </c>
      <c r="AE325" s="313">
        <v>0</v>
      </c>
      <c r="AG325" s="313">
        <v>-2858.0287039999998</v>
      </c>
      <c r="AK325" s="313">
        <v>0</v>
      </c>
      <c r="AO325" s="313">
        <v>0</v>
      </c>
      <c r="AP325" s="313">
        <v>0</v>
      </c>
      <c r="AQ325" s="313">
        <v>0</v>
      </c>
      <c r="AR325" s="313">
        <v>0</v>
      </c>
      <c r="AS325" s="313">
        <v>0</v>
      </c>
      <c r="AT325" s="313">
        <v>0</v>
      </c>
      <c r="AX325" s="313">
        <v>0</v>
      </c>
      <c r="BB325" s="313">
        <v>0</v>
      </c>
      <c r="BC325" s="313">
        <v>0</v>
      </c>
      <c r="BD325" s="313">
        <v>0</v>
      </c>
      <c r="BE325" s="313">
        <v>0</v>
      </c>
      <c r="BF325" s="313">
        <v>0</v>
      </c>
      <c r="BH325" s="313">
        <v>0</v>
      </c>
      <c r="BL325" s="313">
        <v>0</v>
      </c>
    </row>
    <row r="326" spans="1:66">
      <c r="A326" s="313" t="s">
        <v>717</v>
      </c>
      <c r="B326" s="313">
        <v>0</v>
      </c>
      <c r="C326" s="313">
        <v>0</v>
      </c>
      <c r="D326" s="313">
        <v>0</v>
      </c>
      <c r="E326" s="313">
        <v>0</v>
      </c>
      <c r="F326" s="313">
        <v>0</v>
      </c>
      <c r="G326" s="313">
        <v>0</v>
      </c>
      <c r="J326" s="313">
        <v>0</v>
      </c>
      <c r="N326" s="313">
        <v>0</v>
      </c>
      <c r="O326" s="313">
        <v>0</v>
      </c>
      <c r="P326" s="313">
        <v>0</v>
      </c>
      <c r="Q326" s="313">
        <v>0</v>
      </c>
      <c r="R326" s="313">
        <v>0</v>
      </c>
      <c r="S326" s="313">
        <v>0</v>
      </c>
      <c r="W326" s="313">
        <v>0</v>
      </c>
      <c r="AA326" s="313">
        <v>0</v>
      </c>
      <c r="AB326" s="313">
        <v>0</v>
      </c>
      <c r="AC326" s="313">
        <v>0</v>
      </c>
      <c r="AD326" s="313">
        <v>0</v>
      </c>
      <c r="AE326" s="313">
        <v>0</v>
      </c>
      <c r="AG326" s="313">
        <v>0</v>
      </c>
      <c r="AK326" s="313">
        <v>0</v>
      </c>
      <c r="AO326" s="313">
        <v>0</v>
      </c>
      <c r="AP326" s="313">
        <v>0</v>
      </c>
      <c r="AQ326" s="313">
        <v>0</v>
      </c>
      <c r="AR326" s="313">
        <v>0</v>
      </c>
      <c r="AS326" s="313">
        <v>0</v>
      </c>
      <c r="AT326" s="313">
        <v>0</v>
      </c>
      <c r="AX326" s="313">
        <v>0</v>
      </c>
      <c r="BB326" s="313">
        <v>0</v>
      </c>
      <c r="BC326" s="313">
        <v>0</v>
      </c>
      <c r="BD326" s="313">
        <v>0</v>
      </c>
      <c r="BE326" s="313">
        <v>0</v>
      </c>
      <c r="BF326" s="313">
        <v>0</v>
      </c>
      <c r="BH326" s="313">
        <v>0</v>
      </c>
      <c r="BL326" s="313">
        <v>0</v>
      </c>
    </row>
    <row r="327" spans="1:66">
      <c r="A327" s="333" t="s">
        <v>718</v>
      </c>
      <c r="B327" s="333">
        <v>3511.2190064000001</v>
      </c>
      <c r="C327" s="333">
        <v>11470.708779999999</v>
      </c>
      <c r="D327" s="333">
        <v>-323.517877</v>
      </c>
      <c r="E327" s="333">
        <v>-1829.9281460000002</v>
      </c>
      <c r="F327" s="333">
        <v>9365.1589129999993</v>
      </c>
      <c r="G327" s="333">
        <v>25828.114416</v>
      </c>
      <c r="H327" s="333"/>
      <c r="I327" s="333"/>
      <c r="J327" s="333">
        <v>0</v>
      </c>
      <c r="K327" s="333"/>
      <c r="L327" s="333"/>
      <c r="M327" s="333"/>
      <c r="N327" s="333">
        <v>301.36263600000001</v>
      </c>
      <c r="O327" s="333">
        <v>8209.5061540000006</v>
      </c>
      <c r="P327" s="333">
        <v>-1941.4441190000002</v>
      </c>
      <c r="Q327" s="333">
        <v>8841.5838079999994</v>
      </c>
      <c r="R327" s="333">
        <v>8614.632963</v>
      </c>
      <c r="S327" s="333">
        <v>10326.998039</v>
      </c>
      <c r="T327" s="333"/>
      <c r="U327" s="333"/>
      <c r="V327" s="333"/>
      <c r="W327" s="333">
        <v>0</v>
      </c>
      <c r="X327" s="333"/>
      <c r="Y327" s="333"/>
      <c r="Z327" s="333"/>
      <c r="AA327" s="333">
        <v>-6705.9306390000002</v>
      </c>
      <c r="AB327" s="333">
        <v>-21257.427033</v>
      </c>
      <c r="AC327" s="333">
        <v>7709.4475469999998</v>
      </c>
      <c r="AD327" s="333">
        <v>-9400.2279209999997</v>
      </c>
      <c r="AE327" s="333">
        <v>-36248.306560000005</v>
      </c>
      <c r="AF327" s="333"/>
      <c r="AG327" s="333">
        <v>2396.6595109999998</v>
      </c>
      <c r="AH327" s="333"/>
      <c r="AI327" s="333"/>
      <c r="AJ327" s="333"/>
      <c r="AK327" s="333">
        <v>0</v>
      </c>
      <c r="AL327" s="333"/>
      <c r="AM327" s="333"/>
      <c r="AN327" s="333"/>
      <c r="AO327" s="333">
        <v>8838.8704660000003</v>
      </c>
      <c r="AP327" s="333">
        <v>9022.6088720000007</v>
      </c>
      <c r="AQ327" s="333">
        <v>21904.881179</v>
      </c>
      <c r="AR327" s="333">
        <v>23924.928662000002</v>
      </c>
      <c r="AS327" s="333">
        <v>33838.635345999995</v>
      </c>
      <c r="AT327" s="333">
        <v>43417.367361000004</v>
      </c>
      <c r="AU327" s="333"/>
      <c r="AV327" s="333"/>
      <c r="AW327" s="333"/>
      <c r="AX327" s="333">
        <v>0</v>
      </c>
      <c r="AY327" s="333"/>
      <c r="AZ327" s="333"/>
      <c r="BA327" s="333"/>
      <c r="BB327" s="333">
        <v>6557.5087939999994</v>
      </c>
      <c r="BC327" s="333">
        <v>14739.125757</v>
      </c>
      <c r="BD327" s="333">
        <v>10916.853893000001</v>
      </c>
      <c r="BE327" s="333">
        <v>12665.557693000001</v>
      </c>
      <c r="BF327" s="333">
        <v>8758.7633510000014</v>
      </c>
      <c r="BG327" s="333"/>
      <c r="BH327" s="333">
        <v>12341.313454000001</v>
      </c>
      <c r="BI327" s="333"/>
      <c r="BJ327" s="333"/>
      <c r="BK327" s="333"/>
      <c r="BL327" s="333">
        <v>0</v>
      </c>
      <c r="BM327" s="333"/>
      <c r="BN327" s="333"/>
    </row>
    <row r="328" spans="1:66">
      <c r="A328" s="313" t="s">
        <v>719</v>
      </c>
      <c r="B328" s="313">
        <v>0</v>
      </c>
      <c r="C328" s="313">
        <v>0</v>
      </c>
      <c r="D328" s="313">
        <v>0</v>
      </c>
      <c r="E328" s="313">
        <v>0</v>
      </c>
      <c r="F328" s="313">
        <v>0</v>
      </c>
      <c r="G328" s="313">
        <v>0</v>
      </c>
      <c r="J328" s="313">
        <v>0</v>
      </c>
      <c r="N328" s="313">
        <v>0</v>
      </c>
      <c r="O328" s="313">
        <v>0</v>
      </c>
      <c r="P328" s="313">
        <v>0</v>
      </c>
      <c r="Q328" s="313">
        <v>0</v>
      </c>
      <c r="R328" s="313">
        <v>0</v>
      </c>
      <c r="S328" s="313">
        <v>0</v>
      </c>
      <c r="W328" s="313">
        <v>0</v>
      </c>
      <c r="AA328" s="313">
        <v>0</v>
      </c>
      <c r="AB328" s="313">
        <v>0</v>
      </c>
      <c r="AC328" s="313">
        <v>0</v>
      </c>
      <c r="AD328" s="313">
        <v>0</v>
      </c>
      <c r="AE328" s="313">
        <v>0</v>
      </c>
      <c r="AG328" s="313">
        <v>0</v>
      </c>
      <c r="AK328" s="313">
        <v>0</v>
      </c>
      <c r="AO328" s="313">
        <v>0</v>
      </c>
      <c r="AP328" s="313">
        <v>0</v>
      </c>
      <c r="AQ328" s="313">
        <v>0</v>
      </c>
      <c r="AR328" s="313">
        <v>0</v>
      </c>
      <c r="AS328" s="313">
        <v>0</v>
      </c>
      <c r="AT328" s="313">
        <v>0</v>
      </c>
      <c r="AX328" s="313">
        <v>0</v>
      </c>
      <c r="BB328" s="313">
        <v>0</v>
      </c>
      <c r="BC328" s="313">
        <v>0</v>
      </c>
      <c r="BD328" s="313">
        <v>0</v>
      </c>
      <c r="BE328" s="313">
        <v>0</v>
      </c>
      <c r="BF328" s="313">
        <v>0</v>
      </c>
      <c r="BH328" s="313">
        <v>0</v>
      </c>
      <c r="BL328" s="313">
        <v>0</v>
      </c>
    </row>
    <row r="329" spans="1:66">
      <c r="A329" s="313" t="s">
        <v>720</v>
      </c>
      <c r="B329" s="313">
        <v>0</v>
      </c>
      <c r="C329" s="313">
        <v>0</v>
      </c>
      <c r="D329" s="313">
        <v>0</v>
      </c>
      <c r="E329" s="313">
        <v>0</v>
      </c>
      <c r="F329" s="313">
        <v>0</v>
      </c>
      <c r="G329" s="313">
        <v>0</v>
      </c>
      <c r="J329" s="313">
        <v>0</v>
      </c>
      <c r="N329" s="313">
        <v>0</v>
      </c>
      <c r="O329" s="313">
        <v>0</v>
      </c>
      <c r="P329" s="313">
        <v>0</v>
      </c>
      <c r="Q329" s="313">
        <v>0</v>
      </c>
      <c r="R329" s="313">
        <v>0</v>
      </c>
      <c r="S329" s="313">
        <v>0</v>
      </c>
      <c r="W329" s="313">
        <v>0</v>
      </c>
      <c r="AA329" s="313">
        <v>0</v>
      </c>
      <c r="AB329" s="313">
        <v>0</v>
      </c>
      <c r="AC329" s="313">
        <v>0</v>
      </c>
      <c r="AD329" s="313">
        <v>0</v>
      </c>
      <c r="AE329" s="313">
        <v>0</v>
      </c>
      <c r="AG329" s="313">
        <v>0</v>
      </c>
      <c r="AK329" s="313">
        <v>0</v>
      </c>
      <c r="AO329" s="313">
        <v>0</v>
      </c>
      <c r="AP329" s="313">
        <v>0</v>
      </c>
      <c r="AQ329" s="313">
        <v>0</v>
      </c>
      <c r="AR329" s="313">
        <v>0</v>
      </c>
      <c r="AS329" s="313">
        <v>0</v>
      </c>
      <c r="AT329" s="313">
        <v>0</v>
      </c>
      <c r="AX329" s="313">
        <v>0</v>
      </c>
      <c r="BB329" s="313">
        <v>0</v>
      </c>
      <c r="BC329" s="313">
        <v>0</v>
      </c>
      <c r="BD329" s="313">
        <v>0</v>
      </c>
      <c r="BE329" s="313">
        <v>0</v>
      </c>
      <c r="BF329" s="313">
        <v>0</v>
      </c>
      <c r="BH329" s="313">
        <v>0</v>
      </c>
      <c r="BL329" s="313">
        <v>0</v>
      </c>
    </row>
    <row r="330" spans="1:66">
      <c r="A330" s="313" t="s">
        <v>721</v>
      </c>
      <c r="B330" s="313">
        <v>0</v>
      </c>
      <c r="C330" s="313">
        <v>0</v>
      </c>
      <c r="D330" s="313">
        <v>0</v>
      </c>
      <c r="E330" s="313">
        <v>0</v>
      </c>
      <c r="F330" s="313">
        <v>0</v>
      </c>
      <c r="G330" s="313">
        <v>0</v>
      </c>
      <c r="J330" s="313">
        <v>0</v>
      </c>
      <c r="N330" s="313">
        <v>0</v>
      </c>
      <c r="O330" s="313">
        <v>0</v>
      </c>
      <c r="P330" s="313">
        <v>0</v>
      </c>
      <c r="Q330" s="313">
        <v>0</v>
      </c>
      <c r="R330" s="313">
        <v>0</v>
      </c>
      <c r="S330" s="313">
        <v>0</v>
      </c>
      <c r="W330" s="313">
        <v>0</v>
      </c>
      <c r="AA330" s="313">
        <v>0</v>
      </c>
      <c r="AB330" s="313">
        <v>0</v>
      </c>
      <c r="AC330" s="313">
        <v>0</v>
      </c>
      <c r="AD330" s="313">
        <v>0</v>
      </c>
      <c r="AE330" s="313">
        <v>0</v>
      </c>
      <c r="AG330" s="313">
        <v>0</v>
      </c>
      <c r="AK330" s="313">
        <v>0</v>
      </c>
      <c r="AO330" s="313">
        <v>0</v>
      </c>
      <c r="AP330" s="313">
        <v>0</v>
      </c>
      <c r="AQ330" s="313">
        <v>0</v>
      </c>
      <c r="AR330" s="313">
        <v>0</v>
      </c>
      <c r="AS330" s="313">
        <v>0</v>
      </c>
      <c r="AT330" s="313">
        <v>0</v>
      </c>
      <c r="AX330" s="313">
        <v>0</v>
      </c>
      <c r="BB330" s="313">
        <v>0</v>
      </c>
      <c r="BC330" s="313">
        <v>0</v>
      </c>
      <c r="BD330" s="313">
        <v>0</v>
      </c>
      <c r="BE330" s="313">
        <v>0</v>
      </c>
      <c r="BF330" s="313">
        <v>0</v>
      </c>
      <c r="BH330" s="313">
        <v>0</v>
      </c>
      <c r="BL330" s="313">
        <v>0</v>
      </c>
    </row>
    <row r="331" spans="1:66">
      <c r="A331" s="313" t="s">
        <v>722</v>
      </c>
      <c r="B331" s="313">
        <v>13606.414531999999</v>
      </c>
      <c r="C331" s="313">
        <v>52291.933238999998</v>
      </c>
      <c r="D331" s="313">
        <v>49243.868219999997</v>
      </c>
      <c r="E331" s="313">
        <v>44456.910425000002</v>
      </c>
      <c r="F331" s="313">
        <v>67889.851588999998</v>
      </c>
      <c r="G331" s="313">
        <v>72511.159769999998</v>
      </c>
      <c r="J331" s="313">
        <v>0</v>
      </c>
      <c r="N331" s="313">
        <v>13619.184934999999</v>
      </c>
      <c r="O331" s="313">
        <v>21159.518298999999</v>
      </c>
      <c r="P331" s="313">
        <v>23549.416903999998</v>
      </c>
      <c r="Q331" s="313">
        <v>37943.814535999998</v>
      </c>
      <c r="R331" s="313">
        <v>38943.674691</v>
      </c>
      <c r="S331" s="313">
        <v>37410.089708</v>
      </c>
      <c r="W331" s="313">
        <v>0</v>
      </c>
      <c r="AA331" s="313">
        <v>27486.965952999995</v>
      </c>
      <c r="AB331" s="313">
        <v>14274.886461000002</v>
      </c>
      <c r="AC331" s="313">
        <v>32718.813011000002</v>
      </c>
      <c r="AD331" s="313">
        <v>24132.442243999998</v>
      </c>
      <c r="AE331" s="313">
        <v>32100.748498000001</v>
      </c>
      <c r="AG331" s="313">
        <v>23360.312864</v>
      </c>
      <c r="AK331" s="313">
        <v>0</v>
      </c>
      <c r="AO331" s="313">
        <v>45573.184075999998</v>
      </c>
      <c r="AP331" s="313">
        <v>56518.596301999998</v>
      </c>
      <c r="AQ331" s="313">
        <v>90153.552869000006</v>
      </c>
      <c r="AR331" s="313">
        <v>116058.076797</v>
      </c>
      <c r="AS331" s="313">
        <v>90462.117672000008</v>
      </c>
      <c r="AT331" s="313">
        <v>91843.572025000001</v>
      </c>
      <c r="AX331" s="313">
        <v>0</v>
      </c>
      <c r="BB331" s="313">
        <v>18147.858446000002</v>
      </c>
      <c r="BC331" s="313">
        <v>65569.937411000006</v>
      </c>
      <c r="BD331" s="313">
        <v>59367.928959000004</v>
      </c>
      <c r="BE331" s="313">
        <v>36677.129310000004</v>
      </c>
      <c r="BF331" s="313">
        <v>34716.372189000002</v>
      </c>
      <c r="BH331" s="313">
        <v>31352.899075999998</v>
      </c>
      <c r="BL331" s="313">
        <v>0</v>
      </c>
    </row>
    <row r="332" spans="1:66">
      <c r="A332" s="313" t="s">
        <v>723</v>
      </c>
      <c r="B332" s="313">
        <v>11278.860265000001</v>
      </c>
      <c r="C332" s="313">
        <v>13606.414531999999</v>
      </c>
      <c r="D332" s="313">
        <v>52291.933238999998</v>
      </c>
      <c r="E332" s="313">
        <v>49243.868219999997</v>
      </c>
      <c r="F332" s="313">
        <v>44456.910425000002</v>
      </c>
      <c r="G332" s="313">
        <v>67889.851588999998</v>
      </c>
      <c r="J332" s="313">
        <v>0</v>
      </c>
      <c r="N332" s="313">
        <v>12697.660970000001</v>
      </c>
      <c r="O332" s="313">
        <v>13619.184934999999</v>
      </c>
      <c r="P332" s="313">
        <v>21159.518298999999</v>
      </c>
      <c r="Q332" s="313">
        <v>23549.416903999998</v>
      </c>
      <c r="R332" s="313">
        <v>37943.814535999998</v>
      </c>
      <c r="S332" s="313">
        <v>38943.674691</v>
      </c>
      <c r="W332" s="313">
        <v>0</v>
      </c>
      <c r="AA332" s="313">
        <v>21996.510052000001</v>
      </c>
      <c r="AB332" s="313">
        <v>27486.965952999995</v>
      </c>
      <c r="AC332" s="313">
        <v>14274.886461000002</v>
      </c>
      <c r="AD332" s="313">
        <v>32718.813011000002</v>
      </c>
      <c r="AE332" s="313">
        <v>24132.442243999998</v>
      </c>
      <c r="AG332" s="313">
        <v>32100.748498000001</v>
      </c>
      <c r="AK332" s="313">
        <v>0</v>
      </c>
      <c r="AO332" s="313">
        <v>23970.418266999997</v>
      </c>
      <c r="AP332" s="313">
        <v>45573.184075999998</v>
      </c>
      <c r="AQ332" s="313">
        <v>56518.596301999998</v>
      </c>
      <c r="AR332" s="313">
        <v>90153.552869000006</v>
      </c>
      <c r="AS332" s="313">
        <v>116058.076797</v>
      </c>
      <c r="AT332" s="313">
        <v>90462.117672000008</v>
      </c>
      <c r="AX332" s="313">
        <v>0</v>
      </c>
      <c r="BB332" s="313">
        <v>29692.279529000003</v>
      </c>
      <c r="BC332" s="313">
        <v>18147.858446000002</v>
      </c>
      <c r="BD332" s="313">
        <v>65569.937411000006</v>
      </c>
      <c r="BE332" s="313">
        <v>59367.928959000004</v>
      </c>
      <c r="BF332" s="313">
        <v>36677.129310000004</v>
      </c>
      <c r="BH332" s="313">
        <v>34716.372189000002</v>
      </c>
      <c r="BL332" s="313">
        <v>0</v>
      </c>
    </row>
    <row r="333" spans="1:66">
      <c r="A333" s="313" t="s">
        <v>724</v>
      </c>
      <c r="B333" s="313">
        <v>0</v>
      </c>
      <c r="C333" s="313">
        <v>3000</v>
      </c>
      <c r="D333" s="313">
        <v>0</v>
      </c>
      <c r="E333" s="313">
        <v>0</v>
      </c>
      <c r="F333" s="313">
        <v>0</v>
      </c>
      <c r="G333" s="313">
        <v>0</v>
      </c>
      <c r="J333" s="313">
        <v>0</v>
      </c>
      <c r="N333" s="313">
        <v>0</v>
      </c>
      <c r="O333" s="313">
        <v>0</v>
      </c>
      <c r="P333" s="313">
        <v>0</v>
      </c>
      <c r="Q333" s="313">
        <v>0</v>
      </c>
      <c r="R333" s="313">
        <v>0</v>
      </c>
      <c r="S333" s="313">
        <v>0</v>
      </c>
      <c r="W333" s="313">
        <v>0</v>
      </c>
      <c r="AA333" s="313">
        <v>0</v>
      </c>
      <c r="AB333" s="313">
        <v>0</v>
      </c>
      <c r="AC333" s="313">
        <v>0</v>
      </c>
      <c r="AD333" s="313">
        <v>0</v>
      </c>
      <c r="AE333" s="313">
        <v>0</v>
      </c>
      <c r="AG333" s="313">
        <v>0</v>
      </c>
      <c r="AK333" s="313">
        <v>0</v>
      </c>
      <c r="AO333" s="313">
        <v>500</v>
      </c>
      <c r="AP333" s="313">
        <v>0</v>
      </c>
      <c r="AQ333" s="313">
        <v>0</v>
      </c>
      <c r="AR333" s="313">
        <v>0</v>
      </c>
      <c r="AS333" s="313">
        <v>0</v>
      </c>
      <c r="AT333" s="313">
        <v>0</v>
      </c>
      <c r="AX333" s="313">
        <v>0</v>
      </c>
      <c r="BB333" s="313">
        <v>0</v>
      </c>
      <c r="BC333" s="313">
        <v>0</v>
      </c>
      <c r="BD333" s="313">
        <v>0</v>
      </c>
      <c r="BE333" s="313">
        <v>0</v>
      </c>
      <c r="BF333" s="313">
        <v>0</v>
      </c>
      <c r="BH333" s="313">
        <v>0</v>
      </c>
      <c r="BL333" s="313">
        <v>0</v>
      </c>
    </row>
    <row r="334" spans="1:66">
      <c r="A334" s="313" t="s">
        <v>725</v>
      </c>
      <c r="B334" s="313">
        <v>0</v>
      </c>
      <c r="C334" s="313">
        <v>0</v>
      </c>
      <c r="D334" s="313">
        <v>3000</v>
      </c>
      <c r="E334" s="313">
        <v>0</v>
      </c>
      <c r="F334" s="313">
        <v>0</v>
      </c>
      <c r="G334" s="313">
        <v>0</v>
      </c>
      <c r="J334" s="313">
        <v>0</v>
      </c>
      <c r="N334" s="313">
        <v>0</v>
      </c>
      <c r="O334" s="313">
        <v>0</v>
      </c>
      <c r="P334" s="313">
        <v>0</v>
      </c>
      <c r="Q334" s="313">
        <v>0</v>
      </c>
      <c r="R334" s="313">
        <v>0</v>
      </c>
      <c r="S334" s="313">
        <v>0</v>
      </c>
      <c r="W334" s="313">
        <v>0</v>
      </c>
      <c r="AA334" s="313">
        <v>0</v>
      </c>
      <c r="AB334" s="313">
        <v>0</v>
      </c>
      <c r="AC334" s="313">
        <v>0</v>
      </c>
      <c r="AD334" s="313">
        <v>0</v>
      </c>
      <c r="AE334" s="313">
        <v>0</v>
      </c>
      <c r="AG334" s="313">
        <v>0</v>
      </c>
      <c r="AK334" s="313">
        <v>0</v>
      </c>
      <c r="AO334" s="313">
        <v>0</v>
      </c>
      <c r="AP334" s="313">
        <v>500</v>
      </c>
      <c r="AQ334" s="313">
        <v>0</v>
      </c>
      <c r="AR334" s="313">
        <v>0</v>
      </c>
      <c r="AS334" s="313">
        <v>0</v>
      </c>
      <c r="AT334" s="313">
        <v>0</v>
      </c>
      <c r="AX334" s="313">
        <v>0</v>
      </c>
      <c r="BB334" s="313">
        <v>0</v>
      </c>
      <c r="BC334" s="313">
        <v>0</v>
      </c>
      <c r="BD334" s="313">
        <v>0</v>
      </c>
      <c r="BE334" s="313">
        <v>0</v>
      </c>
      <c r="BF334" s="313">
        <v>0</v>
      </c>
      <c r="BH334" s="313">
        <v>0</v>
      </c>
      <c r="BL334" s="313">
        <v>0</v>
      </c>
    </row>
    <row r="335" spans="1:66">
      <c r="A335" s="313" t="s">
        <v>726</v>
      </c>
      <c r="B335" s="313">
        <v>0</v>
      </c>
      <c r="C335" s="313">
        <v>0</v>
      </c>
      <c r="D335" s="313">
        <v>0</v>
      </c>
      <c r="E335" s="313">
        <v>0</v>
      </c>
      <c r="F335" s="313">
        <v>0</v>
      </c>
      <c r="G335" s="313">
        <v>0</v>
      </c>
      <c r="J335" s="313">
        <v>0</v>
      </c>
      <c r="N335" s="313">
        <v>0</v>
      </c>
      <c r="O335" s="313">
        <v>0</v>
      </c>
      <c r="P335" s="313">
        <v>0</v>
      </c>
      <c r="Q335" s="313">
        <v>0</v>
      </c>
      <c r="R335" s="313">
        <v>0</v>
      </c>
      <c r="S335" s="313">
        <v>0</v>
      </c>
      <c r="W335" s="313">
        <v>0</v>
      </c>
      <c r="AA335" s="313">
        <v>0</v>
      </c>
      <c r="AB335" s="313">
        <v>0</v>
      </c>
      <c r="AC335" s="313">
        <v>0</v>
      </c>
      <c r="AD335" s="313">
        <v>0</v>
      </c>
      <c r="AE335" s="313">
        <v>0</v>
      </c>
      <c r="AG335" s="313">
        <v>0</v>
      </c>
      <c r="AK335" s="313">
        <v>0</v>
      </c>
      <c r="AO335" s="313">
        <v>0</v>
      </c>
      <c r="AP335" s="313">
        <v>0</v>
      </c>
      <c r="AQ335" s="313">
        <v>0</v>
      </c>
      <c r="AR335" s="313">
        <v>0</v>
      </c>
      <c r="AS335" s="313">
        <v>0</v>
      </c>
      <c r="AT335" s="313">
        <v>0</v>
      </c>
      <c r="AX335" s="313">
        <v>0</v>
      </c>
      <c r="BB335" s="313">
        <v>0</v>
      </c>
      <c r="BC335" s="313">
        <v>0</v>
      </c>
      <c r="BD335" s="313">
        <v>0</v>
      </c>
      <c r="BE335" s="313">
        <v>0</v>
      </c>
      <c r="BF335" s="313">
        <v>0</v>
      </c>
      <c r="BH335" s="313">
        <v>0</v>
      </c>
      <c r="BL335" s="313">
        <v>0</v>
      </c>
    </row>
    <row r="336" spans="1:66">
      <c r="A336" s="313" t="s">
        <v>727</v>
      </c>
      <c r="B336" s="313">
        <v>0</v>
      </c>
      <c r="C336" s="313">
        <v>0</v>
      </c>
      <c r="D336" s="313">
        <v>0</v>
      </c>
      <c r="E336" s="313">
        <v>0</v>
      </c>
      <c r="F336" s="313">
        <v>0</v>
      </c>
      <c r="G336" s="313">
        <v>0</v>
      </c>
      <c r="J336" s="313">
        <v>0</v>
      </c>
      <c r="N336" s="313">
        <v>0</v>
      </c>
      <c r="O336" s="313">
        <v>0</v>
      </c>
      <c r="P336" s="313">
        <v>0</v>
      </c>
      <c r="Q336" s="313">
        <v>0</v>
      </c>
      <c r="R336" s="313">
        <v>0</v>
      </c>
      <c r="S336" s="313">
        <v>0</v>
      </c>
      <c r="W336" s="313">
        <v>0</v>
      </c>
      <c r="AA336" s="313">
        <v>0</v>
      </c>
      <c r="AB336" s="313">
        <v>0</v>
      </c>
      <c r="AC336" s="313">
        <v>0</v>
      </c>
      <c r="AD336" s="313">
        <v>0</v>
      </c>
      <c r="AE336" s="313">
        <v>0</v>
      </c>
      <c r="AG336" s="313">
        <v>0</v>
      </c>
      <c r="AK336" s="313">
        <v>0</v>
      </c>
      <c r="AO336" s="313">
        <v>0</v>
      </c>
      <c r="AP336" s="313">
        <v>0</v>
      </c>
      <c r="AQ336" s="313">
        <v>0</v>
      </c>
      <c r="AR336" s="313">
        <v>0</v>
      </c>
      <c r="AS336" s="313">
        <v>0</v>
      </c>
      <c r="AT336" s="313">
        <v>0</v>
      </c>
      <c r="AX336" s="313">
        <v>0</v>
      </c>
      <c r="BB336" s="313">
        <v>0</v>
      </c>
      <c r="BC336" s="313">
        <v>0</v>
      </c>
      <c r="BD336" s="313">
        <v>0</v>
      </c>
      <c r="BE336" s="313">
        <v>0</v>
      </c>
      <c r="BF336" s="313">
        <v>0</v>
      </c>
      <c r="BH336" s="313">
        <v>0</v>
      </c>
      <c r="BL336" s="313">
        <v>0</v>
      </c>
    </row>
    <row r="337" spans="1:66">
      <c r="A337" s="333" t="s">
        <v>728</v>
      </c>
      <c r="B337" s="333">
        <v>2327.554267</v>
      </c>
      <c r="C337" s="333">
        <v>41685.518707000003</v>
      </c>
      <c r="D337" s="333">
        <v>-6048.0650189999997</v>
      </c>
      <c r="E337" s="333">
        <v>-4786.9577950000003</v>
      </c>
      <c r="F337" s="333">
        <v>23432.941164</v>
      </c>
      <c r="G337" s="333">
        <v>4621.3081810000003</v>
      </c>
      <c r="H337" s="333"/>
      <c r="I337" s="333"/>
      <c r="J337" s="333">
        <v>0</v>
      </c>
      <c r="K337" s="333"/>
      <c r="L337" s="333"/>
      <c r="M337" s="333"/>
      <c r="N337" s="333">
        <v>921.52396500000009</v>
      </c>
      <c r="O337" s="333">
        <v>7540.3333640000001</v>
      </c>
      <c r="P337" s="333">
        <v>2389.8986049999999</v>
      </c>
      <c r="Q337" s="333">
        <v>14394.397632</v>
      </c>
      <c r="R337" s="333">
        <v>999.86015500000008</v>
      </c>
      <c r="S337" s="333">
        <v>-1533.584983</v>
      </c>
      <c r="T337" s="333"/>
      <c r="U337" s="333"/>
      <c r="V337" s="333"/>
      <c r="W337" s="333">
        <v>0</v>
      </c>
      <c r="X337" s="333"/>
      <c r="Y337" s="333"/>
      <c r="Z337" s="333"/>
      <c r="AA337" s="333">
        <v>5490.4559009999994</v>
      </c>
      <c r="AB337" s="333">
        <v>-13212.079492000001</v>
      </c>
      <c r="AC337" s="333">
        <v>18443.92655</v>
      </c>
      <c r="AD337" s="333">
        <v>-8586.3707670000003</v>
      </c>
      <c r="AE337" s="333">
        <v>7968.306254000001</v>
      </c>
      <c r="AF337" s="333"/>
      <c r="AG337" s="333">
        <v>-8740.4356339999995</v>
      </c>
      <c r="AH337" s="333"/>
      <c r="AI337" s="333"/>
      <c r="AJ337" s="333"/>
      <c r="AK337" s="333">
        <v>0</v>
      </c>
      <c r="AL337" s="333"/>
      <c r="AM337" s="333"/>
      <c r="AN337" s="333"/>
      <c r="AO337" s="333">
        <v>22102.765809</v>
      </c>
      <c r="AP337" s="333">
        <v>10445.412226</v>
      </c>
      <c r="AQ337" s="333">
        <v>33634.956567000001</v>
      </c>
      <c r="AR337" s="333">
        <v>25904.523927999999</v>
      </c>
      <c r="AS337" s="333">
        <v>-25595.959125000001</v>
      </c>
      <c r="AT337" s="333">
        <v>1381.4543529999999</v>
      </c>
      <c r="AU337" s="333"/>
      <c r="AV337" s="333"/>
      <c r="AW337" s="333"/>
      <c r="AX337" s="333">
        <v>0</v>
      </c>
      <c r="AY337" s="333"/>
      <c r="AZ337" s="333"/>
      <c r="BA337" s="333"/>
      <c r="BB337" s="333">
        <v>-11544.421082999999</v>
      </c>
      <c r="BC337" s="333">
        <v>47422.078965000001</v>
      </c>
      <c r="BD337" s="333">
        <v>-6202.008452</v>
      </c>
      <c r="BE337" s="333">
        <v>-22690.799649</v>
      </c>
      <c r="BF337" s="333">
        <v>-1960.7571210000001</v>
      </c>
      <c r="BG337" s="333"/>
      <c r="BH337" s="333">
        <v>-3363.4731130000005</v>
      </c>
      <c r="BI337" s="333"/>
      <c r="BJ337" s="333"/>
      <c r="BK337" s="333"/>
      <c r="BL337" s="333">
        <v>0</v>
      </c>
      <c r="BM337" s="333"/>
      <c r="BN337" s="333"/>
    </row>
    <row r="339" spans="1:66" s="337" customFormat="1" ht="16.5" customHeight="1">
      <c r="A339" s="335" t="s">
        <v>872</v>
      </c>
      <c r="B339" s="336"/>
      <c r="C339" s="336"/>
      <c r="D339" s="336"/>
      <c r="E339" s="336"/>
      <c r="F339" s="336"/>
      <c r="G339" s="336">
        <f>H222</f>
        <v>30500.269795049986</v>
      </c>
      <c r="I339"/>
      <c r="J339" s="336">
        <f>K222</f>
        <v>36271.92278465</v>
      </c>
      <c r="L339"/>
      <c r="S339" s="336">
        <f>T222</f>
        <v>14697.522937</v>
      </c>
      <c r="W339" s="336">
        <f>X222</f>
        <v>19553.123334000004</v>
      </c>
      <c r="AG339" s="336">
        <f>AH222</f>
        <v>66673.703492900007</v>
      </c>
      <c r="AK339" s="336">
        <f>AL222</f>
        <v>62865.306886099992</v>
      </c>
      <c r="AT339" s="336">
        <f>AU222</f>
        <v>136924.27234250001</v>
      </c>
      <c r="AX339" s="336">
        <f>AY222</f>
        <v>195324.61869199999</v>
      </c>
      <c r="BH339" s="336">
        <f>BI222</f>
        <v>8119.6826821500035</v>
      </c>
      <c r="BL339" s="336">
        <f>BM222</f>
        <v>23040.769785649998</v>
      </c>
    </row>
    <row r="340" spans="1:66" s="337" customFormat="1" ht="18.75" customHeight="1">
      <c r="A340" s="335" t="s">
        <v>873</v>
      </c>
      <c r="B340" s="336"/>
      <c r="C340" s="336"/>
      <c r="D340" s="336"/>
      <c r="E340" s="336"/>
      <c r="F340" s="336"/>
      <c r="G340" s="336">
        <f>I222</f>
        <v>37088.933125000003</v>
      </c>
      <c r="J340" s="336">
        <f>L222</f>
        <v>63763.581153000006</v>
      </c>
      <c r="S340" s="336">
        <f>U222</f>
        <v>65627.264116000006</v>
      </c>
      <c r="W340" s="336">
        <f>Y222</f>
        <v>73405.765684999991</v>
      </c>
      <c r="AG340" s="336">
        <f>AI222</f>
        <v>213303.75468800002</v>
      </c>
      <c r="AK340" s="336">
        <f>AM222</f>
        <v>151873.11172799999</v>
      </c>
      <c r="AT340" s="336">
        <f>AV222</f>
        <v>86583.936142999999</v>
      </c>
      <c r="AX340" s="336">
        <f>AZ222</f>
        <v>96108.275215999995</v>
      </c>
      <c r="BH340" s="336">
        <f>BJ222</f>
        <v>0</v>
      </c>
      <c r="BL340" s="336">
        <f>BN222</f>
        <v>0</v>
      </c>
    </row>
    <row r="341" spans="1:66" s="337" customFormat="1" ht="16.5" customHeight="1">
      <c r="A341" s="335" t="s">
        <v>874</v>
      </c>
      <c r="B341" s="336"/>
      <c r="C341" s="336"/>
      <c r="D341" s="336"/>
      <c r="E341" s="336"/>
      <c r="F341" s="336"/>
      <c r="G341" s="336">
        <v>598777.93581816659</v>
      </c>
      <c r="I341"/>
      <c r="J341" s="336">
        <v>486178.33238133346</v>
      </c>
      <c r="L341"/>
      <c r="S341" s="336">
        <v>241659.10176280007</v>
      </c>
      <c r="W341" s="337">
        <v>301833.52353506663</v>
      </c>
      <c r="AG341" s="336">
        <v>511067.32198506652</v>
      </c>
      <c r="AK341" s="337">
        <v>503180.54620800016</v>
      </c>
      <c r="AT341" s="336">
        <v>1277673.6418014998</v>
      </c>
      <c r="AX341" s="336">
        <v>1201511.2989307665</v>
      </c>
      <c r="BH341" s="336">
        <v>1073170.2321526664</v>
      </c>
      <c r="BL341" s="336">
        <v>1400785.5651220002</v>
      </c>
    </row>
    <row r="342" spans="1:66" s="337" customFormat="1" ht="16.5" customHeight="1">
      <c r="A342" s="335" t="s">
        <v>875</v>
      </c>
      <c r="B342" s="336"/>
      <c r="C342" s="336"/>
      <c r="D342" s="336"/>
      <c r="E342" s="336"/>
      <c r="F342" s="336"/>
      <c r="G342" s="336">
        <f>(G341-G339+G340)/G26</f>
        <v>33.553410248573584</v>
      </c>
      <c r="I342"/>
      <c r="J342" s="336">
        <f>(J341-J339+J340)/(J26/9*12)</f>
        <v>23.450263349991857</v>
      </c>
      <c r="L342"/>
      <c r="S342" s="336">
        <f>(S341-S339+S340)/S26</f>
        <v>29.870980548441111</v>
      </c>
      <c r="W342" s="336">
        <f>(W341-W339+W340)/(W26/9*12)</f>
        <v>40.140903047782402</v>
      </c>
      <c r="AG342" s="336">
        <f>(AG341-AG339+AG340)/AG26</f>
        <v>30.329545258600064</v>
      </c>
      <c r="AK342" s="336">
        <f>(AK341-AK339+AK340)/(AK26/9*12)</f>
        <v>23.624727485996999</v>
      </c>
      <c r="AT342" s="336">
        <f>(AT341-AT339+AT340)/AT26</f>
        <v>34.906126868281547</v>
      </c>
      <c r="AX342" s="336">
        <f>(AX341-AX339+AX340)/(AX26/9*12)</f>
        <v>32.525742618763921</v>
      </c>
      <c r="BH342" s="336">
        <f>(BH341-BH339+BH340)/BH26</f>
        <v>60.873526105947413</v>
      </c>
      <c r="BL342" s="336">
        <f>(BL341-BL339+BL340)/(BL26/9*12)</f>
        <v>66.072389608047303</v>
      </c>
    </row>
    <row r="344" spans="1:66" s="337" customFormat="1" ht="16.5" customHeight="1">
      <c r="A344" s="335" t="s">
        <v>876</v>
      </c>
      <c r="B344" s="336"/>
      <c r="C344" s="336"/>
      <c r="D344" s="336"/>
      <c r="E344" s="336"/>
      <c r="F344" s="336"/>
      <c r="G344" s="336">
        <f>G7-SUM(G15:G27)+G41+G28+G312+G313+G314</f>
        <v>19917.509574999971</v>
      </c>
      <c r="I344"/>
      <c r="J344" s="336">
        <f>J7-SUM(J15:J27)+J41+J28+J312+J313+J314</f>
        <v>7193.8491400000048</v>
      </c>
      <c r="L344"/>
      <c r="S344" s="336">
        <f>S7-SUM(S15:S27)+S41+S28+S312+S313+S314</f>
        <v>14033.000307000002</v>
      </c>
      <c r="U344"/>
      <c r="V344"/>
      <c r="W344" s="336">
        <f>W7-SUM(W15:W27)+W41+W28+W312+W313+W314</f>
        <v>-1233.237772000005</v>
      </c>
      <c r="AG344" s="336">
        <f>AG7-SUM(AG15:AG27)+AG41+AG28+AG312+AG313+AG314</f>
        <v>42893.335189000005</v>
      </c>
      <c r="AI344"/>
      <c r="AJ344"/>
      <c r="AK344" s="336">
        <f>AK7-SUM(AK15:AK27)+AK41+AK28+AK312+AK313+AK314</f>
        <v>17651.75311599992</v>
      </c>
      <c r="AT344" s="336">
        <f>AT7-SUM(AT15:AT27)+AT41+AT28+AT312+AT313+AT314</f>
        <v>64756.773507000013</v>
      </c>
      <c r="AV344"/>
      <c r="AW344"/>
      <c r="AX344" s="336">
        <f>AX7-SUM(AX15:AX27)+AX41+AX28+AX312+AX313+AX314</f>
        <v>21892.850722000014</v>
      </c>
      <c r="BH344" s="336">
        <f>BH7-SUM(BH15:BH27)+BH41+BH28+BH312+BH313+BH314</f>
        <v>30697.311689999995</v>
      </c>
      <c r="BJ344"/>
      <c r="BK344"/>
      <c r="BL344" s="336">
        <f>BL7-SUM(BL15:BL27)+BL41+BL28+BL312+BL313+BL314</f>
        <v>4587.8272839999991</v>
      </c>
    </row>
    <row r="345" spans="1:66" s="241" customFormat="1" ht="16.5" customHeight="1"/>
    <row r="346" spans="1:66">
      <c r="A346" s="313" t="s">
        <v>877</v>
      </c>
      <c r="C346" s="313">
        <f>C7/(B98+C98+B111+C111)*2</f>
        <v>2.5724617160484362</v>
      </c>
      <c r="D346" s="313">
        <f>D7/(C98+D98+C111+D111)*2</f>
        <v>1.8505532845771837</v>
      </c>
      <c r="E346" s="313">
        <f>E7/(D98+E98+D111+E111)*2</f>
        <v>2.3297194156262044</v>
      </c>
      <c r="F346" s="313">
        <f>F7/(E98+F98+E111+F111)*2</f>
        <v>3.3061023430066481</v>
      </c>
      <c r="G346" s="313">
        <f>G7/(F98+G98+F111+G111)*2</f>
        <v>3.5102234052034911</v>
      </c>
      <c r="J346" s="313">
        <f>J341/G344</f>
        <v>24.409594510328443</v>
      </c>
      <c r="O346" s="313">
        <f>O7/(N98+O98+N111+O111)*2</f>
        <v>2.3364662969400376</v>
      </c>
      <c r="P346" s="313">
        <f>P7/(O98+P98+O111+P111)*2</f>
        <v>2.0923582070370146</v>
      </c>
      <c r="Q346" s="313">
        <f>Q7/(P98+Q98+P111+Q111)*2</f>
        <v>1.9027126247990196</v>
      </c>
      <c r="R346" s="313">
        <f>R7/(Q98+R98+Q111+R111)*2</f>
        <v>1.9753081927908114</v>
      </c>
      <c r="S346" s="313">
        <f>S7/(R98+S98+R111+S111)*2</f>
        <v>1.7427824256708355</v>
      </c>
      <c r="W346" s="313">
        <f>W341/S344</f>
        <v>21.508837520975806</v>
      </c>
      <c r="AB346" s="313">
        <f>AB7/(AA98+AB98+AA111+AB111)*2</f>
        <v>2.8432818710052943</v>
      </c>
      <c r="AC346" s="313">
        <f>AC7/(AB98+AC98+AB111+AC111)*2</f>
        <v>2.4445507503610346</v>
      </c>
      <c r="AD346" s="313">
        <f>AD7/(AC98+AD98+AC111+AD111)*2</f>
        <v>2.4773085504596666</v>
      </c>
      <c r="AE346" s="313">
        <f>AE7/(AD98+AE98+AD111+AE111)*2</f>
        <v>2.6849882133688374</v>
      </c>
      <c r="AG346" s="313">
        <f>AG7/(AE98+AG98+AE111+AG111)*2</f>
        <v>3.0846781423629093</v>
      </c>
      <c r="AK346" s="313">
        <f>AK341/AG344</f>
        <v>11.730972748816249</v>
      </c>
      <c r="AP346" s="313">
        <f>AP7/(AO98+AP98+AO111+AP111)*2</f>
        <v>1.5540677896892614</v>
      </c>
      <c r="AQ346" s="313">
        <f>AQ7/(AP98+AQ98+AP111+AQ111)*2</f>
        <v>1.3798653361197872</v>
      </c>
      <c r="AR346" s="313">
        <f>AR7/(AQ98+AR98+AQ111+AR111)*2</f>
        <v>1.3505554554749286</v>
      </c>
      <c r="AS346" s="313">
        <f>AS7/(AR98+AS98+AR111+AS111)*2</f>
        <v>1.1806269429583922</v>
      </c>
      <c r="AT346" s="313">
        <f>AT7/(AS98+AT98+AS111+AT111)*2</f>
        <v>1.0895999435386869</v>
      </c>
      <c r="AX346" s="313">
        <f>AX341/AT344</f>
        <v>18.554218097368405</v>
      </c>
      <c r="BC346" s="313">
        <f>BC7/(BB98+BC98+BB111+BC111)*2</f>
        <v>1.1325871911928582</v>
      </c>
      <c r="BD346" s="313">
        <f>BD7/(BC98+BD98+BC111+BD111)*2</f>
        <v>0.94297158896006561</v>
      </c>
      <c r="BE346" s="313">
        <f>BE7/(BD98+BE98+BD111+BE111)*2</f>
        <v>1.1350249462514286</v>
      </c>
      <c r="BF346" s="313">
        <f>BF7/(BE98+BF98+BE111+BF111)*2</f>
        <v>1.2387717320338383</v>
      </c>
      <c r="BH346" s="313">
        <f>BH7/(BF98+BH98+BF111+BH111)*2</f>
        <v>1.2119129164474545</v>
      </c>
      <c r="BL346" s="313">
        <f>BL341/BH344</f>
        <v>45.632190182253723</v>
      </c>
    </row>
  </sheetData>
  <phoneticPr fontId="2" type="noConversion"/>
  <conditionalFormatting sqref="U149:W152 W184 W201:W204 T339:V340 T341:W341 W3 Z149:AG152 AI149:AK152 Z184:AG184 AK184 Z201:AG204 AK201:AK204 Z222:AG222 AK222 Z339:AF341 AH339:AJ340 AH341:AS341 AL339:AS340 Z120:AK141 Z186:AK200 AX1:AX338 AX343 BA343:BH343 BA1:BH338 Z143:AK148 Z142:AG142 AI142:AK142 M1:R340 U142:W142 I142 A1:F340 BL1:BL338 BL343 BO343:XFD343 BO1:XFD341 BA339:BG341 BO346:XFD1048576 BA347:BH1048576 A346:F1048576 H346:I346 M346 Z346 BA346 T346:W346 AH346:AN346 AX346:AX1048576 BL346:BL1048576 G347:I1048576 G1:I141 G142 G143:I181 G339:G340 G183:I338 G182:H182 A343:J343 J346:J1048576 J1:J338 M347:W1048576 S142 S143:W148 S3 S4:W141 S205:W338 S201:S204 S185:W200 S184 S149:S152 S153:W183 S1:W2 M343:W343 Z343:AT343 Z185:AT185 Z205:AT221 Z223:AT338 Z1:AT119 AN120:AT152 Z153:AT183 AN184:AT184 AN186:AT204 AN222:AT222 Z347:AT1048576">
    <cfRule type="cellIs" dxfId="110" priority="115" stopIfTrue="1" operator="lessThan">
      <formula>0</formula>
    </cfRule>
  </conditionalFormatting>
  <conditionalFormatting sqref="A341:G342">
    <cfRule type="cellIs" dxfId="109" priority="114" stopIfTrue="1" operator="lessThan">
      <formula>0</formula>
    </cfRule>
  </conditionalFormatting>
  <conditionalFormatting sqref="M341:R342 T342:V342 Z342:AF342 AH342:AJ342 AL342:AS342 BA342:BG342 BO342:XFD342">
    <cfRule type="cellIs" dxfId="108" priority="113" stopIfTrue="1" operator="lessThan">
      <formula>0</formula>
    </cfRule>
  </conditionalFormatting>
  <conditionalFormatting sqref="J339:J340">
    <cfRule type="cellIs" dxfId="107" priority="112" stopIfTrue="1" operator="lessThan">
      <formula>0</formula>
    </cfRule>
  </conditionalFormatting>
  <conditionalFormatting sqref="J341:J342">
    <cfRule type="cellIs" dxfId="106" priority="111" stopIfTrue="1" operator="lessThan">
      <formula>0</formula>
    </cfRule>
  </conditionalFormatting>
  <conditionalFormatting sqref="K182 K1:L141 K183:L196 K343:L343 K198:L338 L197 K143:L181 L142 K346:L1048576">
    <cfRule type="cellIs" dxfId="105" priority="110" stopIfTrue="1" operator="lessThan">
      <formula>0</formula>
    </cfRule>
  </conditionalFormatting>
  <conditionalFormatting sqref="T149:T152">
    <cfRule type="cellIs" dxfId="104" priority="109" stopIfTrue="1" operator="lessThan">
      <formula>0</formula>
    </cfRule>
  </conditionalFormatting>
  <conditionalFormatting sqref="T184:V184">
    <cfRule type="cellIs" dxfId="103" priority="108" stopIfTrue="1" operator="lessThan">
      <formula>0</formula>
    </cfRule>
  </conditionalFormatting>
  <conditionalFormatting sqref="T201:V204">
    <cfRule type="cellIs" dxfId="102" priority="107" stopIfTrue="1" operator="lessThan">
      <formula>0</formula>
    </cfRule>
  </conditionalFormatting>
  <conditionalFormatting sqref="S339:S340">
    <cfRule type="cellIs" dxfId="101" priority="106" stopIfTrue="1" operator="lessThan">
      <formula>0</formula>
    </cfRule>
  </conditionalFormatting>
  <conditionalFormatting sqref="S341:S342">
    <cfRule type="cellIs" dxfId="100" priority="105" stopIfTrue="1" operator="lessThan">
      <formula>0</formula>
    </cfRule>
  </conditionalFormatting>
  <conditionalFormatting sqref="W339:W340">
    <cfRule type="cellIs" dxfId="99" priority="104" stopIfTrue="1" operator="lessThan">
      <formula>0</formula>
    </cfRule>
  </conditionalFormatting>
  <conditionalFormatting sqref="W342">
    <cfRule type="cellIs" dxfId="98" priority="103" stopIfTrue="1" operator="lessThan">
      <formula>0</formula>
    </cfRule>
  </conditionalFormatting>
  <conditionalFormatting sqref="T3:V3">
    <cfRule type="cellIs" dxfId="97" priority="102" stopIfTrue="1" operator="lessThan">
      <formula>0</formula>
    </cfRule>
  </conditionalFormatting>
  <conditionalFormatting sqref="X343:Y343 X1:Y2 X153:Y183 Y149:Y152 X185:Y200 X205:Y341 X4:Y141 X143:Y148 Y142 X346:Y1048576">
    <cfRule type="cellIs" dxfId="96" priority="101" stopIfTrue="1" operator="lessThan">
      <formula>0</formula>
    </cfRule>
  </conditionalFormatting>
  <conditionalFormatting sqref="X342:Y342">
    <cfRule type="cellIs" dxfId="95" priority="100" stopIfTrue="1" operator="lessThan">
      <formula>0</formula>
    </cfRule>
  </conditionalFormatting>
  <conditionalFormatting sqref="X149:X152">
    <cfRule type="cellIs" dxfId="94" priority="99" stopIfTrue="1" operator="lessThan">
      <formula>0</formula>
    </cfRule>
  </conditionalFormatting>
  <conditionalFormatting sqref="X184:Y184">
    <cfRule type="cellIs" dxfId="93" priority="98" stopIfTrue="1" operator="lessThan">
      <formula>0</formula>
    </cfRule>
  </conditionalFormatting>
  <conditionalFormatting sqref="X201:Y204">
    <cfRule type="cellIs" dxfId="92" priority="97" stopIfTrue="1" operator="lessThan">
      <formula>0</formula>
    </cfRule>
  </conditionalFormatting>
  <conditionalFormatting sqref="X3:Y3">
    <cfRule type="cellIs" dxfId="91" priority="96" stopIfTrue="1" operator="lessThan">
      <formula>0</formula>
    </cfRule>
  </conditionalFormatting>
  <conditionalFormatting sqref="AH149:AH152">
    <cfRule type="cellIs" dxfId="90" priority="95" stopIfTrue="1" operator="lessThan">
      <formula>0</formula>
    </cfRule>
  </conditionalFormatting>
  <conditionalFormatting sqref="AH184:AJ184">
    <cfRule type="cellIs" dxfId="89" priority="94" stopIfTrue="1" operator="lessThan">
      <formula>0</formula>
    </cfRule>
  </conditionalFormatting>
  <conditionalFormatting sqref="AH201:AJ204">
    <cfRule type="cellIs" dxfId="88" priority="93" stopIfTrue="1" operator="lessThan">
      <formula>0</formula>
    </cfRule>
  </conditionalFormatting>
  <conditionalFormatting sqref="AH222:AJ222">
    <cfRule type="cellIs" dxfId="87" priority="92" stopIfTrue="1" operator="lessThan">
      <formula>0</formula>
    </cfRule>
  </conditionalFormatting>
  <conditionalFormatting sqref="K197">
    <cfRule type="cellIs" dxfId="86" priority="91" stopIfTrue="1" operator="lessThan">
      <formula>0</formula>
    </cfRule>
  </conditionalFormatting>
  <conditionalFormatting sqref="AG339:AG340">
    <cfRule type="cellIs" dxfId="85" priority="90" stopIfTrue="1" operator="lessThan">
      <formula>0</formula>
    </cfRule>
  </conditionalFormatting>
  <conditionalFormatting sqref="AG341:AG342">
    <cfRule type="cellIs" dxfId="84" priority="89" stopIfTrue="1" operator="lessThan">
      <formula>0</formula>
    </cfRule>
  </conditionalFormatting>
  <conditionalFormatting sqref="AK342">
    <cfRule type="cellIs" dxfId="83" priority="88" stopIfTrue="1" operator="lessThan">
      <formula>0</formula>
    </cfRule>
  </conditionalFormatting>
  <conditionalFormatting sqref="AK339:AK340">
    <cfRule type="cellIs" dxfId="82" priority="87" stopIfTrue="1" operator="lessThan">
      <formula>0</formula>
    </cfRule>
  </conditionalFormatting>
  <conditionalFormatting sqref="AM149:AM152 AL120:AM141 AL143:AM148 AM142">
    <cfRule type="cellIs" dxfId="81" priority="86" stopIfTrue="1" operator="lessThan">
      <formula>0</formula>
    </cfRule>
  </conditionalFormatting>
  <conditionalFormatting sqref="AL149:AL152">
    <cfRule type="cellIs" dxfId="80" priority="85" stopIfTrue="1" operator="lessThan">
      <formula>0</formula>
    </cfRule>
  </conditionalFormatting>
  <conditionalFormatting sqref="AL184:AM184">
    <cfRule type="cellIs" dxfId="79" priority="84" stopIfTrue="1" operator="lessThan">
      <formula>0</formula>
    </cfRule>
  </conditionalFormatting>
  <conditionalFormatting sqref="AL186:AM200">
    <cfRule type="cellIs" dxfId="78" priority="83" stopIfTrue="1" operator="lessThan">
      <formula>0</formula>
    </cfRule>
  </conditionalFormatting>
  <conditionalFormatting sqref="AL201:AM204">
    <cfRule type="cellIs" dxfId="77" priority="82" stopIfTrue="1" operator="lessThan">
      <formula>0</formula>
    </cfRule>
  </conditionalFormatting>
  <conditionalFormatting sqref="AL222:AM222">
    <cfRule type="cellIs" dxfId="76" priority="81" stopIfTrue="1" operator="lessThan">
      <formula>0</formula>
    </cfRule>
  </conditionalFormatting>
  <conditionalFormatting sqref="AX341">
    <cfRule type="cellIs" dxfId="75" priority="80" stopIfTrue="1" operator="lessThan">
      <formula>0</formula>
    </cfRule>
  </conditionalFormatting>
  <conditionalFormatting sqref="AT339:AT340">
    <cfRule type="cellIs" dxfId="74" priority="79" stopIfTrue="1" operator="lessThan">
      <formula>0</formula>
    </cfRule>
  </conditionalFormatting>
  <conditionalFormatting sqref="AT341:AT342">
    <cfRule type="cellIs" dxfId="73" priority="78" stopIfTrue="1" operator="lessThan">
      <formula>0</formula>
    </cfRule>
  </conditionalFormatting>
  <conditionalFormatting sqref="AX342">
    <cfRule type="cellIs" dxfId="72" priority="77" stopIfTrue="1" operator="lessThan">
      <formula>0</formula>
    </cfRule>
  </conditionalFormatting>
  <conditionalFormatting sqref="AX339:AX340">
    <cfRule type="cellIs" dxfId="71" priority="76" stopIfTrue="1" operator="lessThan">
      <formula>0</formula>
    </cfRule>
  </conditionalFormatting>
  <conditionalFormatting sqref="AU343:AW343 AV149:AW152 AU205:AW221 AU223:AW341 AU1:AW148 AU153:AW183 AU185:AW200 AU346:AW1048576">
    <cfRule type="cellIs" dxfId="70" priority="75" stopIfTrue="1" operator="lessThan">
      <formula>0</formula>
    </cfRule>
  </conditionalFormatting>
  <conditionalFormatting sqref="AU342:AW342">
    <cfRule type="cellIs" dxfId="69" priority="74" stopIfTrue="1" operator="lessThan">
      <formula>0</formula>
    </cfRule>
  </conditionalFormatting>
  <conditionalFormatting sqref="AU149:AU152">
    <cfRule type="cellIs" dxfId="68" priority="73" stopIfTrue="1" operator="lessThan">
      <formula>0</formula>
    </cfRule>
  </conditionalFormatting>
  <conditionalFormatting sqref="AU184:AW184">
    <cfRule type="cellIs" dxfId="67" priority="72" stopIfTrue="1" operator="lessThan">
      <formula>0</formula>
    </cfRule>
  </conditionalFormatting>
  <conditionalFormatting sqref="AU201:AW204">
    <cfRule type="cellIs" dxfId="66" priority="71" stopIfTrue="1" operator="lessThan">
      <formula>0</formula>
    </cfRule>
  </conditionalFormatting>
  <conditionalFormatting sqref="AU222:AW222">
    <cfRule type="cellIs" dxfId="65" priority="70" stopIfTrue="1" operator="lessThan">
      <formula>0</formula>
    </cfRule>
  </conditionalFormatting>
  <conditionalFormatting sqref="AY343:AZ343 AZ149:AZ152 AY205:AZ221 AY223:AZ341 AY1:AZ95 AY153:AZ169 AY97:AZ114 AZ96 AY143:AZ145 AZ142 AY198:AZ200 AZ197 AY116:AZ141 AY147:AZ148 AY146 AY171:AZ183 AZ170 AY185:AZ196 AY346:AZ1048576">
    <cfRule type="cellIs" dxfId="64" priority="69" stopIfTrue="1" operator="lessThan">
      <formula>0</formula>
    </cfRule>
  </conditionalFormatting>
  <conditionalFormatting sqref="AY342:AZ342">
    <cfRule type="cellIs" dxfId="63" priority="68" stopIfTrue="1" operator="lessThan">
      <formula>0</formula>
    </cfRule>
  </conditionalFormatting>
  <conditionalFormatting sqref="AY149:AY152">
    <cfRule type="cellIs" dxfId="62" priority="67" stopIfTrue="1" operator="lessThan">
      <formula>0</formula>
    </cfRule>
  </conditionalFormatting>
  <conditionalFormatting sqref="AY184:AZ184">
    <cfRule type="cellIs" dxfId="61" priority="66" stopIfTrue="1" operator="lessThan">
      <formula>0</formula>
    </cfRule>
  </conditionalFormatting>
  <conditionalFormatting sqref="AY201:AZ204">
    <cfRule type="cellIs" dxfId="60" priority="65" stopIfTrue="1" operator="lessThan">
      <formula>0</formula>
    </cfRule>
  </conditionalFormatting>
  <conditionalFormatting sqref="AY222:AZ222">
    <cfRule type="cellIs" dxfId="59" priority="64" stopIfTrue="1" operator="lessThan">
      <formula>0</formula>
    </cfRule>
  </conditionalFormatting>
  <conditionalFormatting sqref="AY96">
    <cfRule type="cellIs" dxfId="58" priority="63" stopIfTrue="1" operator="lessThan">
      <formula>0</formula>
    </cfRule>
  </conditionalFormatting>
  <conditionalFormatting sqref="AY142">
    <cfRule type="cellIs" dxfId="57" priority="62" stopIfTrue="1" operator="lessThan">
      <formula>0</formula>
    </cfRule>
  </conditionalFormatting>
  <conditionalFormatting sqref="AL142">
    <cfRule type="cellIs" dxfId="56" priority="61" stopIfTrue="1" operator="lessThan">
      <formula>0</formula>
    </cfRule>
  </conditionalFormatting>
  <conditionalFormatting sqref="AH142">
    <cfRule type="cellIs" dxfId="55" priority="60" stopIfTrue="1" operator="lessThan">
      <formula>0</formula>
    </cfRule>
  </conditionalFormatting>
  <conditionalFormatting sqref="X142">
    <cfRule type="cellIs" dxfId="54" priority="59" stopIfTrue="1" operator="lessThan">
      <formula>0</formula>
    </cfRule>
  </conditionalFormatting>
  <conditionalFormatting sqref="T142">
    <cfRule type="cellIs" dxfId="53" priority="58" stopIfTrue="1" operator="lessThan">
      <formula>0</formula>
    </cfRule>
  </conditionalFormatting>
  <conditionalFormatting sqref="H142">
    <cfRule type="cellIs" dxfId="52" priority="57" stopIfTrue="1" operator="lessThan">
      <formula>0</formula>
    </cfRule>
  </conditionalFormatting>
  <conditionalFormatting sqref="K142">
    <cfRule type="cellIs" dxfId="51" priority="56" stopIfTrue="1" operator="lessThan">
      <formula>0</formula>
    </cfRule>
  </conditionalFormatting>
  <conditionalFormatting sqref="AY197">
    <cfRule type="cellIs" dxfId="50" priority="55" stopIfTrue="1" operator="lessThan">
      <formula>0</formula>
    </cfRule>
  </conditionalFormatting>
  <conditionalFormatting sqref="AY115:AZ115">
    <cfRule type="cellIs" dxfId="49" priority="54" stopIfTrue="1" operator="lessThan">
      <formula>0</formula>
    </cfRule>
  </conditionalFormatting>
  <conditionalFormatting sqref="AZ146">
    <cfRule type="cellIs" dxfId="48" priority="53" stopIfTrue="1" operator="lessThan">
      <formula>0</formula>
    </cfRule>
  </conditionalFormatting>
  <conditionalFormatting sqref="AY170">
    <cfRule type="cellIs" dxfId="47" priority="52" stopIfTrue="1" operator="lessThan">
      <formula>0</formula>
    </cfRule>
  </conditionalFormatting>
  <conditionalFormatting sqref="BI343:BK343 BJ149:BK152 BI205:BK221 BI223:BK338 BI1:BK148 BI153:BK183 BI185:BK200 BI346:BK1048576">
    <cfRule type="cellIs" dxfId="46" priority="51" stopIfTrue="1" operator="lessThan">
      <formula>0</formula>
    </cfRule>
  </conditionalFormatting>
  <conditionalFormatting sqref="BI149:BI152">
    <cfRule type="cellIs" dxfId="45" priority="50" stopIfTrue="1" operator="lessThan">
      <formula>0</formula>
    </cfRule>
  </conditionalFormatting>
  <conditionalFormatting sqref="BI184:BK184">
    <cfRule type="cellIs" dxfId="44" priority="49" stopIfTrue="1" operator="lessThan">
      <formula>0</formula>
    </cfRule>
  </conditionalFormatting>
  <conditionalFormatting sqref="BI201:BK204">
    <cfRule type="cellIs" dxfId="43" priority="48" stopIfTrue="1" operator="lessThan">
      <formula>0</formula>
    </cfRule>
  </conditionalFormatting>
  <conditionalFormatting sqref="BI222:BK222">
    <cfRule type="cellIs" dxfId="42" priority="47" stopIfTrue="1" operator="lessThan">
      <formula>0</formula>
    </cfRule>
  </conditionalFormatting>
  <conditionalFormatting sqref="BM343:BN343 BN149:BN152 BM205:BN221 BM223:BN341 BM1:BN105 BM153:BN171 BM185:BN196 BM198:BN200 BN197 BM107:BN114 BM116:BN145 BM115 BM147:BN148 BM146 BM173:BN180 BM182:BN183 BM346:BN1048576">
    <cfRule type="cellIs" dxfId="41" priority="46" stopIfTrue="1" operator="lessThan">
      <formula>0</formula>
    </cfRule>
  </conditionalFormatting>
  <conditionalFormatting sqref="BM342:BN342">
    <cfRule type="cellIs" dxfId="40" priority="45" stopIfTrue="1" operator="lessThan">
      <formula>0</formula>
    </cfRule>
  </conditionalFormatting>
  <conditionalFormatting sqref="BM149:BM152">
    <cfRule type="cellIs" dxfId="39" priority="44" stopIfTrue="1" operator="lessThan">
      <formula>0</formula>
    </cfRule>
  </conditionalFormatting>
  <conditionalFormatting sqref="BM184:BN184">
    <cfRule type="cellIs" dxfId="38" priority="43" stopIfTrue="1" operator="lessThan">
      <formula>0</formula>
    </cfRule>
  </conditionalFormatting>
  <conditionalFormatting sqref="BM201:BN204">
    <cfRule type="cellIs" dxfId="37" priority="42" stopIfTrue="1" operator="lessThan">
      <formula>0</formula>
    </cfRule>
  </conditionalFormatting>
  <conditionalFormatting sqref="BM222:BN222">
    <cfRule type="cellIs" dxfId="36" priority="41" stopIfTrue="1" operator="lessThan">
      <formula>0</formula>
    </cfRule>
  </conditionalFormatting>
  <conditionalFormatting sqref="BM197">
    <cfRule type="cellIs" dxfId="35" priority="40" stopIfTrue="1" operator="lessThan">
      <formula>0</formula>
    </cfRule>
  </conditionalFormatting>
  <conditionalFormatting sqref="BL341">
    <cfRule type="cellIs" dxfId="34" priority="39" stopIfTrue="1" operator="lessThan">
      <formula>0</formula>
    </cfRule>
  </conditionalFormatting>
  <conditionalFormatting sqref="BH339:BH340">
    <cfRule type="cellIs" dxfId="33" priority="38" stopIfTrue="1" operator="lessThan">
      <formula>0</formula>
    </cfRule>
  </conditionalFormatting>
  <conditionalFormatting sqref="BH341:BH342">
    <cfRule type="cellIs" dxfId="32" priority="37" stopIfTrue="1" operator="lessThan">
      <formula>0</formula>
    </cfRule>
  </conditionalFormatting>
  <conditionalFormatting sqref="BL342">
    <cfRule type="cellIs" dxfId="31" priority="36" stopIfTrue="1" operator="lessThan">
      <formula>0</formula>
    </cfRule>
  </conditionalFormatting>
  <conditionalFormatting sqref="BL339:BL340">
    <cfRule type="cellIs" dxfId="30" priority="35" stopIfTrue="1" operator="lessThan">
      <formula>0</formula>
    </cfRule>
  </conditionalFormatting>
  <conditionalFormatting sqref="BI339:BK341">
    <cfRule type="cellIs" dxfId="29" priority="34" stopIfTrue="1" operator="lessThan">
      <formula>0</formula>
    </cfRule>
  </conditionalFormatting>
  <conditionalFormatting sqref="BI342:BK342">
    <cfRule type="cellIs" dxfId="28" priority="33" stopIfTrue="1" operator="lessThan">
      <formula>0</formula>
    </cfRule>
  </conditionalFormatting>
  <conditionalFormatting sqref="BM109:BN109">
    <cfRule type="cellIs" dxfId="27" priority="32" stopIfTrue="1" operator="lessThan">
      <formula>0</formula>
    </cfRule>
  </conditionalFormatting>
  <conditionalFormatting sqref="BN115">
    <cfRule type="cellIs" dxfId="26" priority="31" stopIfTrue="1" operator="lessThan">
      <formula>0</formula>
    </cfRule>
  </conditionalFormatting>
  <conditionalFormatting sqref="BN146">
    <cfRule type="cellIs" dxfId="25" priority="30" stopIfTrue="1" operator="lessThan">
      <formula>0</formula>
    </cfRule>
  </conditionalFormatting>
  <conditionalFormatting sqref="BM172:BN172">
    <cfRule type="cellIs" dxfId="24" priority="29" stopIfTrue="1" operator="lessThan">
      <formula>0</formula>
    </cfRule>
  </conditionalFormatting>
  <conditionalFormatting sqref="BM181:BN181">
    <cfRule type="cellIs" dxfId="23" priority="28" stopIfTrue="1" operator="lessThan">
      <formula>0</formula>
    </cfRule>
  </conditionalFormatting>
  <conditionalFormatting sqref="A344:G344">
    <cfRule type="cellIs" dxfId="22" priority="27" stopIfTrue="1" operator="lessThan">
      <formula>0</formula>
    </cfRule>
  </conditionalFormatting>
  <conditionalFormatting sqref="M344:R344 Z344:AF344 AL344:AS344 BA344:BG344 BO344:XFD344">
    <cfRule type="cellIs" dxfId="21" priority="26" stopIfTrue="1" operator="lessThan">
      <formula>0</formula>
    </cfRule>
  </conditionalFormatting>
  <conditionalFormatting sqref="X344:Y344">
    <cfRule type="cellIs" dxfId="20" priority="25" stopIfTrue="1" operator="lessThan">
      <formula>0</formula>
    </cfRule>
  </conditionalFormatting>
  <conditionalFormatting sqref="AY344:AZ344">
    <cfRule type="cellIs" dxfId="19" priority="24" stopIfTrue="1" operator="lessThan">
      <formula>0</formula>
    </cfRule>
  </conditionalFormatting>
  <conditionalFormatting sqref="BM344:BN344">
    <cfRule type="cellIs" dxfId="18" priority="23" stopIfTrue="1" operator="lessThan">
      <formula>0</formula>
    </cfRule>
  </conditionalFormatting>
  <conditionalFormatting sqref="J344">
    <cfRule type="cellIs" dxfId="17" priority="22" stopIfTrue="1" operator="lessThan">
      <formula>0</formula>
    </cfRule>
  </conditionalFormatting>
  <conditionalFormatting sqref="S344">
    <cfRule type="cellIs" dxfId="16" priority="21" stopIfTrue="1" operator="lessThan">
      <formula>0</formula>
    </cfRule>
  </conditionalFormatting>
  <conditionalFormatting sqref="W344">
    <cfRule type="cellIs" dxfId="15" priority="20" stopIfTrue="1" operator="lessThan">
      <formula>0</formula>
    </cfRule>
  </conditionalFormatting>
  <conditionalFormatting sqref="AG344">
    <cfRule type="cellIs" dxfId="14" priority="19" stopIfTrue="1" operator="lessThan">
      <formula>0</formula>
    </cfRule>
  </conditionalFormatting>
  <conditionalFormatting sqref="AK344">
    <cfRule type="cellIs" dxfId="13" priority="18" stopIfTrue="1" operator="lessThan">
      <formula>0</formula>
    </cfRule>
  </conditionalFormatting>
  <conditionalFormatting sqref="AT344">
    <cfRule type="cellIs" dxfId="12" priority="17" stopIfTrue="1" operator="lessThan">
      <formula>0</formula>
    </cfRule>
  </conditionalFormatting>
  <conditionalFormatting sqref="AX344">
    <cfRule type="cellIs" dxfId="11" priority="16" stopIfTrue="1" operator="lessThan">
      <formula>0</formula>
    </cfRule>
  </conditionalFormatting>
  <conditionalFormatting sqref="BH344">
    <cfRule type="cellIs" dxfId="10" priority="15" stopIfTrue="1" operator="lessThan">
      <formula>0</formula>
    </cfRule>
  </conditionalFormatting>
  <conditionalFormatting sqref="BL344">
    <cfRule type="cellIs" dxfId="9" priority="14" stopIfTrue="1" operator="lessThan">
      <formula>0</formula>
    </cfRule>
  </conditionalFormatting>
  <conditionalFormatting sqref="G346">
    <cfRule type="cellIs" dxfId="8" priority="13" stopIfTrue="1" operator="lessThan">
      <formula>0</formula>
    </cfRule>
  </conditionalFormatting>
  <conditionalFormatting sqref="N346:R346">
    <cfRule type="cellIs" dxfId="7" priority="12" stopIfTrue="1" operator="lessThan">
      <formula>0</formula>
    </cfRule>
  </conditionalFormatting>
  <conditionalFormatting sqref="S346">
    <cfRule type="cellIs" dxfId="6" priority="11" stopIfTrue="1" operator="lessThan">
      <formula>0</formula>
    </cfRule>
  </conditionalFormatting>
  <conditionalFormatting sqref="AA346:AF346">
    <cfRule type="cellIs" dxfId="5" priority="10" stopIfTrue="1" operator="lessThan">
      <formula>0</formula>
    </cfRule>
  </conditionalFormatting>
  <conditionalFormatting sqref="AG346">
    <cfRule type="cellIs" dxfId="4" priority="9" stopIfTrue="1" operator="lessThan">
      <formula>0</formula>
    </cfRule>
  </conditionalFormatting>
  <conditionalFormatting sqref="AO346:AS346">
    <cfRule type="cellIs" dxfId="3" priority="8" stopIfTrue="1" operator="lessThan">
      <formula>0</formula>
    </cfRule>
  </conditionalFormatting>
  <conditionalFormatting sqref="AT346">
    <cfRule type="cellIs" dxfId="2" priority="7" stopIfTrue="1" operator="lessThan">
      <formula>0</formula>
    </cfRule>
  </conditionalFormatting>
  <conditionalFormatting sqref="BB346:BG346">
    <cfRule type="cellIs" dxfId="1" priority="6" stopIfTrue="1" operator="lessThan">
      <formula>0</formula>
    </cfRule>
  </conditionalFormatting>
  <conditionalFormatting sqref="BH346">
    <cfRule type="cellIs" dxfId="0" priority="5" stopIfTrue="1" operator="lessThan">
      <formula>0</formula>
    </cfRule>
  </conditionalFormatting>
  <printOptions horizontalCentered="1"/>
  <pageMargins left="0.70866141732283472" right="0.70866141732283472" top="0.74803149606299213" bottom="0.74803149606299213" header="0.31496062992125984" footer="0.31496062992125984"/>
  <pageSetup paperSize="9" scale="57" fitToWidth="0" fitToHeight="2" orientation="portrait" r:id="rId1"/>
  <rowBreaks count="1" manualBreakCount="1">
    <brk id="88" max="26" man="1"/>
  </rowBreaks>
  <colBreaks count="1" manualBreakCount="1">
    <brk id="9" max="22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4336F-CA70-4C32-B944-F8C311768177}">
  <dimension ref="A1:AW105"/>
  <sheetViews>
    <sheetView workbookViewId="0">
      <selection activeCell="D15" sqref="D15"/>
    </sheetView>
  </sheetViews>
  <sheetFormatPr defaultRowHeight="14"/>
  <cols>
    <col min="1" max="1" width="11.36328125" style="409" bestFit="1" customWidth="1"/>
    <col min="2" max="2" width="10.36328125" style="409" bestFit="1" customWidth="1"/>
    <col min="3" max="8" width="16.26953125" style="409" bestFit="1" customWidth="1"/>
    <col min="9" max="9" width="16.26953125" style="422" bestFit="1" customWidth="1"/>
    <col min="10" max="12" width="16.26953125" style="409" bestFit="1" customWidth="1"/>
    <col min="13" max="33" width="16.26953125" style="408" bestFit="1" customWidth="1"/>
    <col min="34" max="34" width="12.7265625" style="408" customWidth="1"/>
    <col min="35" max="35" width="21.6328125" style="408" bestFit="1" customWidth="1"/>
    <col min="36" max="39" width="12.7265625" style="408" customWidth="1"/>
    <col min="40" max="40" width="8.7265625" style="408"/>
    <col min="41" max="44" width="12.7265625" style="408" customWidth="1"/>
    <col min="45" max="45" width="20.453125" style="408" bestFit="1" customWidth="1"/>
    <col min="46" max="49" width="12.7265625" style="408" customWidth="1"/>
    <col min="50" max="16384" width="8.7265625" style="408"/>
  </cols>
  <sheetData>
    <row r="1" spans="1:49" s="410" customFormat="1">
      <c r="A1" s="522" t="s">
        <v>1061</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408"/>
      <c r="AI1" s="408"/>
      <c r="AJ1" s="408"/>
      <c r="AK1" s="408"/>
      <c r="AL1" s="408"/>
      <c r="AM1" s="408"/>
      <c r="AN1" s="408"/>
      <c r="AO1" s="408"/>
      <c r="AP1" s="408"/>
      <c r="AQ1" s="408"/>
      <c r="AR1" s="408"/>
      <c r="AS1" s="408"/>
      <c r="AT1" s="408"/>
      <c r="AU1" s="408"/>
      <c r="AV1" s="408"/>
      <c r="AW1" s="408"/>
    </row>
    <row r="2" spans="1:49">
      <c r="A2" s="411" t="s">
        <v>59</v>
      </c>
      <c r="B2" s="411" t="s">
        <v>73</v>
      </c>
      <c r="C2" s="412" t="s">
        <v>1091</v>
      </c>
      <c r="D2" s="412" t="s">
        <v>1090</v>
      </c>
      <c r="E2" s="412" t="s">
        <v>1089</v>
      </c>
      <c r="F2" s="412" t="s">
        <v>1088</v>
      </c>
      <c r="G2" s="412" t="s">
        <v>1087</v>
      </c>
      <c r="H2" s="412" t="s">
        <v>1086</v>
      </c>
      <c r="I2" s="412" t="s">
        <v>1085</v>
      </c>
      <c r="J2" s="412" t="s">
        <v>1084</v>
      </c>
      <c r="K2" s="412" t="s">
        <v>1083</v>
      </c>
      <c r="L2" s="412" t="s">
        <v>1082</v>
      </c>
      <c r="M2" s="412" t="s">
        <v>1081</v>
      </c>
      <c r="N2" s="412" t="s">
        <v>1080</v>
      </c>
      <c r="O2" s="412" t="s">
        <v>1079</v>
      </c>
      <c r="P2" s="412" t="s">
        <v>1078</v>
      </c>
      <c r="Q2" s="412" t="s">
        <v>1077</v>
      </c>
      <c r="R2" s="412" t="s">
        <v>1076</v>
      </c>
      <c r="S2" s="412" t="s">
        <v>1075</v>
      </c>
      <c r="T2" s="412" t="s">
        <v>1074</v>
      </c>
      <c r="U2" s="412" t="s">
        <v>1073</v>
      </c>
      <c r="V2" s="412" t="s">
        <v>1072</v>
      </c>
      <c r="W2" s="412" t="s">
        <v>1071</v>
      </c>
      <c r="X2" s="412" t="s">
        <v>1070</v>
      </c>
      <c r="Y2" s="412" t="s">
        <v>1069</v>
      </c>
      <c r="Z2" s="412" t="s">
        <v>1068</v>
      </c>
      <c r="AA2" s="412" t="s">
        <v>1067</v>
      </c>
      <c r="AB2" s="412" t="s">
        <v>1066</v>
      </c>
      <c r="AC2" s="412" t="s">
        <v>1065</v>
      </c>
      <c r="AD2" s="412" t="s">
        <v>1064</v>
      </c>
      <c r="AE2" s="412" t="s">
        <v>1063</v>
      </c>
      <c r="AF2" s="412" t="s">
        <v>1062</v>
      </c>
      <c r="AG2" s="412" t="s">
        <v>1092</v>
      </c>
    </row>
    <row r="3" spans="1:49">
      <c r="A3" s="413" t="s">
        <v>949</v>
      </c>
      <c r="B3" s="413" t="s">
        <v>950</v>
      </c>
      <c r="C3" s="414">
        <v>1086341.9569999999</v>
      </c>
      <c r="D3" s="414">
        <v>1043318.5131</v>
      </c>
      <c r="E3" s="414">
        <v>1028260.3078</v>
      </c>
      <c r="F3" s="414">
        <v>1021806.7912</v>
      </c>
      <c r="G3" s="414">
        <v>1028260.3078</v>
      </c>
      <c r="H3" s="414">
        <v>1036864.9965</v>
      </c>
      <c r="I3" s="414">
        <v>1034713.8244</v>
      </c>
      <c r="J3" s="414">
        <v>1036864.9965</v>
      </c>
      <c r="K3" s="414">
        <v>1039016.1687</v>
      </c>
      <c r="L3" s="414">
        <v>1043318.5131</v>
      </c>
      <c r="M3" s="415">
        <v>1054074.3740999999</v>
      </c>
      <c r="N3" s="415">
        <v>1054074.3740999999</v>
      </c>
      <c r="O3" s="415">
        <v>1054074.3740999999</v>
      </c>
      <c r="P3" s="415">
        <v>1060527.8907000001</v>
      </c>
      <c r="Q3" s="415">
        <v>1056225.5463</v>
      </c>
      <c r="R3" s="415">
        <v>1049772.0297000001</v>
      </c>
      <c r="S3" s="415">
        <v>1049772.0297000001</v>
      </c>
      <c r="T3" s="415">
        <v>1047620.8575</v>
      </c>
      <c r="U3" s="415">
        <v>1041167.3409</v>
      </c>
      <c r="V3" s="415">
        <v>1058376.7185</v>
      </c>
      <c r="W3" s="415">
        <v>1058376.7185</v>
      </c>
      <c r="X3" s="415">
        <v>1056225.5463</v>
      </c>
      <c r="Y3" s="415">
        <v>1060527.8907000001</v>
      </c>
      <c r="Z3" s="415">
        <v>1073434.9238</v>
      </c>
      <c r="AA3" s="415">
        <v>1069132.5793999999</v>
      </c>
      <c r="AB3" s="415">
        <v>1084190.7848</v>
      </c>
      <c r="AC3" s="415">
        <v>1082039.6126000001</v>
      </c>
      <c r="AD3" s="415">
        <v>1075586.0959999999</v>
      </c>
      <c r="AE3" s="415">
        <v>1079888.4404</v>
      </c>
      <c r="AF3" s="415">
        <v>1075586.0959999999</v>
      </c>
      <c r="AG3" s="415">
        <v>1054648.0200066667</v>
      </c>
      <c r="AI3" s="424"/>
    </row>
    <row r="4" spans="1:49">
      <c r="A4" s="413" t="s">
        <v>951</v>
      </c>
      <c r="B4" s="413" t="s">
        <v>952</v>
      </c>
      <c r="C4" s="414">
        <v>1751424.1003</v>
      </c>
      <c r="D4" s="414">
        <v>1759646.7486</v>
      </c>
      <c r="E4" s="414">
        <v>1729497.0379999999</v>
      </c>
      <c r="F4" s="414">
        <v>1732237.9208</v>
      </c>
      <c r="G4" s="414">
        <v>1745942.3347</v>
      </c>
      <c r="H4" s="414">
        <v>1765128.5142000001</v>
      </c>
      <c r="I4" s="414">
        <v>1778832.9280999999</v>
      </c>
      <c r="J4" s="414">
        <v>1776092.0453000001</v>
      </c>
      <c r="K4" s="414">
        <v>1787055.5765</v>
      </c>
      <c r="L4" s="414">
        <v>1808982.6388000001</v>
      </c>
      <c r="M4" s="415">
        <v>1828168.8182999999</v>
      </c>
      <c r="N4" s="415">
        <v>1847354.9978</v>
      </c>
      <c r="O4" s="415">
        <v>1852836.7633</v>
      </c>
      <c r="P4" s="415">
        <v>1872022.9428000001</v>
      </c>
      <c r="Q4" s="415">
        <v>1863800.2945000001</v>
      </c>
      <c r="R4" s="415">
        <v>1847354.9978</v>
      </c>
      <c r="S4" s="415">
        <v>1850095.8806</v>
      </c>
      <c r="T4" s="415">
        <v>1839132.3493999999</v>
      </c>
      <c r="U4" s="415">
        <v>1839132.3493999999</v>
      </c>
      <c r="V4" s="415">
        <v>1852836.7633</v>
      </c>
      <c r="W4" s="415">
        <v>1874763.8256000001</v>
      </c>
      <c r="X4" s="415">
        <v>1858318.5289</v>
      </c>
      <c r="Y4" s="415">
        <v>1852836.7633</v>
      </c>
      <c r="Z4" s="415">
        <v>1877504.7083999999</v>
      </c>
      <c r="AA4" s="415">
        <v>1896690.8879</v>
      </c>
      <c r="AB4" s="415">
        <v>1913136.1846</v>
      </c>
      <c r="AC4" s="415">
        <v>1902172.6535</v>
      </c>
      <c r="AD4" s="415">
        <v>1885727.3568</v>
      </c>
      <c r="AE4" s="415">
        <v>1893950.0051</v>
      </c>
      <c r="AF4" s="415">
        <v>1907654.4191000001</v>
      </c>
      <c r="AG4" s="415">
        <v>1833011.0445233334</v>
      </c>
      <c r="AI4" s="424"/>
    </row>
    <row r="5" spans="1:49">
      <c r="A5" s="413" t="s">
        <v>953</v>
      </c>
      <c r="B5" s="413" t="s">
        <v>954</v>
      </c>
      <c r="C5" s="414">
        <v>926227.80390000006</v>
      </c>
      <c r="D5" s="414">
        <v>922566.82440000004</v>
      </c>
      <c r="E5" s="414">
        <v>911583.88600000006</v>
      </c>
      <c r="F5" s="414">
        <v>900600.94770000002</v>
      </c>
      <c r="G5" s="414">
        <v>907922.90659999999</v>
      </c>
      <c r="H5" s="414">
        <v>911583.69259999995</v>
      </c>
      <c r="I5" s="414">
        <v>915244.67130000005</v>
      </c>
      <c r="J5" s="414">
        <v>915244.67130000005</v>
      </c>
      <c r="K5" s="414">
        <v>926227.60730000003</v>
      </c>
      <c r="L5" s="414">
        <v>933549.56469999999</v>
      </c>
      <c r="M5" s="415">
        <v>940871.522</v>
      </c>
      <c r="N5" s="415">
        <v>940871.522</v>
      </c>
      <c r="O5" s="415">
        <v>940871.522</v>
      </c>
      <c r="P5" s="415">
        <v>944532.50069999998</v>
      </c>
      <c r="Q5" s="415">
        <v>937210.54339999997</v>
      </c>
      <c r="R5" s="415">
        <v>929888.58600000001</v>
      </c>
      <c r="S5" s="415">
        <v>937210.54339999997</v>
      </c>
      <c r="T5" s="415">
        <v>933549.56469999999</v>
      </c>
      <c r="U5" s="415">
        <v>937210.54339999997</v>
      </c>
      <c r="V5" s="415">
        <v>944532.50069999998</v>
      </c>
      <c r="W5" s="415">
        <v>948193.47939999995</v>
      </c>
      <c r="X5" s="415">
        <v>937210.54339999997</v>
      </c>
      <c r="Y5" s="415">
        <v>937210.54339999997</v>
      </c>
      <c r="Z5" s="415">
        <v>948193.47939999995</v>
      </c>
      <c r="AA5" s="415">
        <v>951854.45810000005</v>
      </c>
      <c r="AB5" s="415">
        <v>955515.43680000002</v>
      </c>
      <c r="AC5" s="415">
        <v>959176.4155</v>
      </c>
      <c r="AD5" s="415">
        <v>948193.47939999995</v>
      </c>
      <c r="AE5" s="415">
        <v>955515.43680000002</v>
      </c>
      <c r="AF5" s="415">
        <v>955515.43680000002</v>
      </c>
      <c r="AG5" s="415">
        <v>935136.02110333345</v>
      </c>
      <c r="AI5" s="424"/>
    </row>
    <row r="6" spans="1:49">
      <c r="A6" s="413" t="s">
        <v>955</v>
      </c>
      <c r="B6" s="413" t="s">
        <v>956</v>
      </c>
      <c r="C6" s="414">
        <v>750078.41249999998</v>
      </c>
      <c r="D6" s="414">
        <v>748275.33940000006</v>
      </c>
      <c r="E6" s="414">
        <v>737456.90079999994</v>
      </c>
      <c r="F6" s="414">
        <v>732047.6814</v>
      </c>
      <c r="G6" s="414">
        <v>735653.82770000002</v>
      </c>
      <c r="H6" s="414">
        <v>737456.90079999994</v>
      </c>
      <c r="I6" s="414">
        <v>739259.97389999998</v>
      </c>
      <c r="J6" s="414">
        <v>741063.04700000002</v>
      </c>
      <c r="K6" s="414">
        <v>744669.19319999998</v>
      </c>
      <c r="L6" s="414">
        <v>748275.33940000006</v>
      </c>
      <c r="M6" s="415">
        <v>753684.55870000005</v>
      </c>
      <c r="N6" s="415">
        <v>757290.70490000001</v>
      </c>
      <c r="O6" s="415">
        <v>755487.63179999997</v>
      </c>
      <c r="P6" s="415">
        <v>759093.77800000005</v>
      </c>
      <c r="Q6" s="415">
        <v>755487.63179999997</v>
      </c>
      <c r="R6" s="415">
        <v>746472.26630000002</v>
      </c>
      <c r="S6" s="415">
        <v>750078.41249999998</v>
      </c>
      <c r="T6" s="415">
        <v>750078.41249999998</v>
      </c>
      <c r="U6" s="415">
        <v>750078.41249999998</v>
      </c>
      <c r="V6" s="415">
        <v>757290.70490000001</v>
      </c>
      <c r="W6" s="415">
        <v>759093.77800000005</v>
      </c>
      <c r="X6" s="415">
        <v>753684.55870000005</v>
      </c>
      <c r="Y6" s="415">
        <v>755487.63179999997</v>
      </c>
      <c r="Z6" s="415">
        <v>764502.99739999999</v>
      </c>
      <c r="AA6" s="415">
        <v>768109.14359999995</v>
      </c>
      <c r="AB6" s="415">
        <v>771715.28980000003</v>
      </c>
      <c r="AC6" s="415">
        <v>769912.21669999999</v>
      </c>
      <c r="AD6" s="415">
        <v>768109.14359999995</v>
      </c>
      <c r="AE6" s="415">
        <v>769912.21669999999</v>
      </c>
      <c r="AF6" s="415">
        <v>768109.14359999995</v>
      </c>
      <c r="AG6" s="415">
        <v>753263.84166333312</v>
      </c>
      <c r="AI6" s="424"/>
    </row>
    <row r="7" spans="1:49">
      <c r="A7" s="413" t="s">
        <v>957</v>
      </c>
      <c r="B7" s="413" t="s">
        <v>958</v>
      </c>
      <c r="C7" s="414">
        <v>771084.47120000003</v>
      </c>
      <c r="D7" s="414">
        <v>771078.71169999999</v>
      </c>
      <c r="E7" s="414">
        <v>760218.44819999998</v>
      </c>
      <c r="F7" s="414">
        <v>753702.29</v>
      </c>
      <c r="G7" s="414">
        <v>753702.29</v>
      </c>
      <c r="H7" s="414">
        <v>755874.34270000004</v>
      </c>
      <c r="I7" s="414">
        <v>758046.39540000004</v>
      </c>
      <c r="J7" s="414">
        <v>764562.55359999998</v>
      </c>
      <c r="K7" s="414">
        <v>768906.65899999999</v>
      </c>
      <c r="L7" s="414">
        <v>773250.76439999999</v>
      </c>
      <c r="M7" s="415">
        <v>775422.81709999999</v>
      </c>
      <c r="N7" s="415">
        <v>779766.92249999999</v>
      </c>
      <c r="O7" s="415">
        <v>779766.92249999999</v>
      </c>
      <c r="P7" s="415">
        <v>784111.02789999999</v>
      </c>
      <c r="Q7" s="415">
        <v>779766.92249999999</v>
      </c>
      <c r="R7" s="415">
        <v>773250.76439999999</v>
      </c>
      <c r="S7" s="415">
        <v>773250.76439999999</v>
      </c>
      <c r="T7" s="415">
        <v>768906.65899999999</v>
      </c>
      <c r="U7" s="415">
        <v>768906.65899999999</v>
      </c>
      <c r="V7" s="415">
        <v>779766.92249999999</v>
      </c>
      <c r="W7" s="415">
        <v>781938.97519999999</v>
      </c>
      <c r="X7" s="415">
        <v>775422.81709999999</v>
      </c>
      <c r="Y7" s="415">
        <v>777594.86979999999</v>
      </c>
      <c r="Z7" s="415">
        <v>784111.02789999999</v>
      </c>
      <c r="AA7" s="415">
        <v>784111.02789999999</v>
      </c>
      <c r="AB7" s="415">
        <v>790627.18610000005</v>
      </c>
      <c r="AC7" s="415">
        <v>788455.13340000005</v>
      </c>
      <c r="AD7" s="415">
        <v>784111.02789999999</v>
      </c>
      <c r="AE7" s="415">
        <v>788455.13340000005</v>
      </c>
      <c r="AF7" s="415">
        <v>786283.08070000005</v>
      </c>
      <c r="AG7" s="415">
        <v>774481.78624666645</v>
      </c>
      <c r="AI7" s="424"/>
    </row>
    <row r="8" spans="1:49">
      <c r="A8" s="413" t="s">
        <v>959</v>
      </c>
      <c r="B8" s="413" t="s">
        <v>960</v>
      </c>
      <c r="C8" s="414">
        <v>841824.28729999997</v>
      </c>
      <c r="D8" s="414">
        <v>839654.63710000005</v>
      </c>
      <c r="E8" s="414">
        <v>830976.03619999997</v>
      </c>
      <c r="F8" s="414">
        <v>824467.08550000004</v>
      </c>
      <c r="G8" s="414">
        <v>826636.73569999996</v>
      </c>
      <c r="H8" s="414">
        <v>835315.33660000004</v>
      </c>
      <c r="I8" s="414">
        <v>833145.68640000001</v>
      </c>
      <c r="J8" s="414">
        <v>837484.98690000002</v>
      </c>
      <c r="K8" s="414">
        <v>841824.28729999997</v>
      </c>
      <c r="L8" s="414">
        <v>846163.58779999998</v>
      </c>
      <c r="M8" s="415">
        <v>852672.53839999996</v>
      </c>
      <c r="N8" s="415">
        <v>857011.83889999997</v>
      </c>
      <c r="O8" s="415">
        <v>857011.83889999997</v>
      </c>
      <c r="P8" s="415">
        <v>865690.43980000005</v>
      </c>
      <c r="Q8" s="415">
        <v>859181.48910000001</v>
      </c>
      <c r="R8" s="415">
        <v>852672.53839999996</v>
      </c>
      <c r="S8" s="415">
        <v>859181.48910000001</v>
      </c>
      <c r="T8" s="415">
        <v>852672.53839999996</v>
      </c>
      <c r="U8" s="415">
        <v>854842.18870000006</v>
      </c>
      <c r="V8" s="415">
        <v>867860.09</v>
      </c>
      <c r="W8" s="415">
        <v>867860.09</v>
      </c>
      <c r="X8" s="415">
        <v>863520.78960000002</v>
      </c>
      <c r="Y8" s="415">
        <v>867860.09</v>
      </c>
      <c r="Z8" s="415">
        <v>880877.99140000006</v>
      </c>
      <c r="AA8" s="415">
        <v>883047.64159999997</v>
      </c>
      <c r="AB8" s="415">
        <v>889556.59230000002</v>
      </c>
      <c r="AC8" s="415">
        <v>887386.94200000004</v>
      </c>
      <c r="AD8" s="415">
        <v>883047.64159999997</v>
      </c>
      <c r="AE8" s="415">
        <v>885217.29180000001</v>
      </c>
      <c r="AF8" s="415">
        <v>885217.29180000001</v>
      </c>
      <c r="AG8" s="415">
        <v>857662.73395333358</v>
      </c>
      <c r="AI8" s="424"/>
    </row>
    <row r="9" spans="1:49">
      <c r="A9" s="416"/>
      <c r="B9" s="416"/>
      <c r="C9" s="417"/>
      <c r="D9" s="418"/>
      <c r="E9" s="418"/>
      <c r="F9" s="418"/>
      <c r="G9" s="418"/>
      <c r="H9" s="418"/>
      <c r="I9" s="419"/>
      <c r="J9" s="418"/>
      <c r="K9" s="418"/>
      <c r="L9" s="420"/>
    </row>
    <row r="10" spans="1:49">
      <c r="A10" s="416"/>
      <c r="B10" s="416"/>
      <c r="C10" s="417"/>
      <c r="D10" s="418"/>
      <c r="E10" s="418"/>
      <c r="F10" s="418"/>
      <c r="G10" s="418"/>
      <c r="H10" s="418"/>
      <c r="I10" s="419"/>
      <c r="J10" s="418"/>
      <c r="K10" s="418"/>
      <c r="L10" s="420"/>
    </row>
    <row r="11" spans="1:49">
      <c r="A11" s="416"/>
      <c r="B11" s="416"/>
      <c r="C11" s="417"/>
      <c r="D11" s="418"/>
      <c r="E11" s="418"/>
      <c r="F11" s="418"/>
      <c r="G11" s="418"/>
      <c r="H11" s="418"/>
      <c r="I11" s="419"/>
      <c r="J11" s="418"/>
      <c r="K11" s="418"/>
      <c r="L11" s="420"/>
    </row>
    <row r="12" spans="1:49">
      <c r="A12" s="416"/>
      <c r="B12" s="416"/>
      <c r="C12" s="417"/>
      <c r="D12" s="418"/>
      <c r="E12" s="418"/>
      <c r="F12" s="418"/>
      <c r="G12" s="418"/>
      <c r="H12" s="418"/>
      <c r="I12" s="419"/>
      <c r="J12" s="418"/>
      <c r="K12" s="418"/>
      <c r="L12" s="420"/>
    </row>
    <row r="13" spans="1:49">
      <c r="A13" s="416"/>
      <c r="B13" s="416"/>
      <c r="C13" s="417"/>
      <c r="D13" s="418"/>
      <c r="E13" s="418"/>
      <c r="F13" s="418"/>
      <c r="G13" s="418"/>
      <c r="H13" s="418"/>
      <c r="I13" s="419"/>
      <c r="J13" s="418"/>
      <c r="K13" s="418"/>
      <c r="L13" s="420"/>
    </row>
    <row r="14" spans="1:49">
      <c r="A14" s="416"/>
      <c r="B14" s="416"/>
      <c r="C14" s="417"/>
      <c r="D14" s="418"/>
      <c r="E14" s="418"/>
      <c r="F14" s="418"/>
      <c r="G14" s="418"/>
      <c r="H14" s="418"/>
      <c r="I14" s="419"/>
      <c r="J14" s="418"/>
      <c r="K14" s="418"/>
      <c r="L14" s="420"/>
    </row>
    <row r="15" spans="1:49">
      <c r="A15" s="416"/>
      <c r="B15" s="416"/>
      <c r="C15" s="417"/>
      <c r="D15" s="418"/>
      <c r="E15" s="418"/>
      <c r="F15" s="418"/>
      <c r="G15" s="418"/>
      <c r="H15" s="418"/>
      <c r="I15" s="419"/>
      <c r="J15" s="418"/>
      <c r="K15" s="418"/>
      <c r="L15" s="420"/>
    </row>
    <row r="16" spans="1:49">
      <c r="A16" s="416"/>
      <c r="B16" s="416"/>
      <c r="C16" s="417"/>
      <c r="D16" s="418"/>
      <c r="E16" s="418"/>
      <c r="F16" s="418"/>
      <c r="G16" s="418"/>
      <c r="H16" s="418"/>
      <c r="I16" s="419"/>
      <c r="J16" s="418"/>
      <c r="K16" s="418"/>
      <c r="L16" s="420"/>
    </row>
    <row r="17" spans="1:12">
      <c r="A17" s="416"/>
      <c r="B17" s="416"/>
      <c r="C17" s="417"/>
      <c r="D17" s="418"/>
      <c r="E17" s="418"/>
      <c r="F17" s="418"/>
      <c r="G17" s="418"/>
      <c r="H17" s="418"/>
      <c r="I17" s="419"/>
      <c r="J17" s="418"/>
      <c r="K17" s="418"/>
      <c r="L17" s="420"/>
    </row>
    <row r="18" spans="1:12">
      <c r="A18" s="416"/>
      <c r="B18" s="416"/>
      <c r="C18" s="417"/>
      <c r="D18" s="418"/>
      <c r="E18" s="418"/>
      <c r="F18" s="418"/>
      <c r="G18" s="418"/>
      <c r="H18" s="418"/>
      <c r="I18" s="419"/>
      <c r="J18" s="418"/>
      <c r="K18" s="418"/>
      <c r="L18" s="420"/>
    </row>
    <row r="19" spans="1:12">
      <c r="A19" s="416"/>
      <c r="B19" s="416"/>
      <c r="C19" s="417"/>
      <c r="D19" s="418"/>
      <c r="E19" s="418"/>
      <c r="F19" s="418"/>
      <c r="G19" s="418"/>
      <c r="H19" s="418"/>
      <c r="I19" s="419"/>
      <c r="J19" s="418"/>
      <c r="K19" s="418"/>
      <c r="L19" s="420"/>
    </row>
    <row r="20" spans="1:12">
      <c r="A20" s="416"/>
      <c r="B20" s="416"/>
      <c r="C20" s="417"/>
      <c r="D20" s="418"/>
      <c r="E20" s="418"/>
      <c r="F20" s="418"/>
      <c r="G20" s="418"/>
      <c r="H20" s="418"/>
      <c r="I20" s="419"/>
      <c r="J20" s="418"/>
      <c r="K20" s="418"/>
      <c r="L20" s="420"/>
    </row>
    <row r="21" spans="1:12">
      <c r="A21" s="416"/>
      <c r="B21" s="416"/>
      <c r="C21" s="417"/>
      <c r="D21" s="418"/>
      <c r="E21" s="418"/>
      <c r="F21" s="418"/>
      <c r="G21" s="418"/>
      <c r="H21" s="418"/>
      <c r="I21" s="419"/>
      <c r="J21" s="418"/>
      <c r="K21" s="418"/>
      <c r="L21" s="420"/>
    </row>
    <row r="22" spans="1:12">
      <c r="A22" s="416"/>
      <c r="B22" s="416"/>
      <c r="C22" s="417"/>
      <c r="D22" s="418"/>
      <c r="E22" s="418"/>
      <c r="F22" s="418"/>
      <c r="G22" s="418"/>
      <c r="H22" s="418"/>
      <c r="I22" s="419"/>
      <c r="J22" s="418"/>
      <c r="K22" s="418"/>
      <c r="L22" s="420"/>
    </row>
    <row r="23" spans="1:12">
      <c r="A23" s="416"/>
      <c r="B23" s="416"/>
      <c r="C23" s="417"/>
      <c r="D23" s="418"/>
      <c r="E23" s="418"/>
      <c r="F23" s="418"/>
      <c r="G23" s="418"/>
      <c r="H23" s="418"/>
      <c r="I23" s="419"/>
      <c r="J23" s="418"/>
      <c r="K23" s="418"/>
      <c r="L23" s="420"/>
    </row>
    <row r="24" spans="1:12">
      <c r="A24" s="416"/>
      <c r="B24" s="416"/>
      <c r="C24" s="417"/>
      <c r="D24" s="418"/>
      <c r="E24" s="418"/>
      <c r="F24" s="418"/>
      <c r="G24" s="418"/>
      <c r="H24" s="418"/>
      <c r="I24" s="419"/>
      <c r="J24" s="418"/>
      <c r="K24" s="418"/>
      <c r="L24" s="420"/>
    </row>
    <row r="25" spans="1:12">
      <c r="A25" s="416"/>
      <c r="B25" s="416"/>
      <c r="C25" s="417"/>
      <c r="D25" s="418"/>
      <c r="E25" s="418"/>
      <c r="F25" s="418"/>
      <c r="G25" s="418"/>
      <c r="H25" s="418"/>
      <c r="I25" s="419"/>
      <c r="J25" s="418"/>
      <c r="K25" s="418"/>
      <c r="L25" s="420"/>
    </row>
    <row r="26" spans="1:12">
      <c r="A26" s="416"/>
      <c r="B26" s="416"/>
      <c r="C26" s="417"/>
      <c r="D26" s="418"/>
      <c r="E26" s="418"/>
      <c r="F26" s="418"/>
      <c r="G26" s="418"/>
      <c r="H26" s="418"/>
      <c r="I26" s="419"/>
      <c r="J26" s="418"/>
      <c r="K26" s="418"/>
      <c r="L26" s="420"/>
    </row>
    <row r="27" spans="1:12">
      <c r="A27" s="416"/>
      <c r="B27" s="416"/>
      <c r="C27" s="417"/>
      <c r="D27" s="418"/>
      <c r="E27" s="418"/>
      <c r="F27" s="418"/>
      <c r="G27" s="418"/>
      <c r="H27" s="418"/>
      <c r="I27" s="419"/>
      <c r="J27" s="418"/>
      <c r="K27" s="418"/>
      <c r="L27" s="420"/>
    </row>
    <row r="28" spans="1:12">
      <c r="A28" s="416"/>
      <c r="B28" s="416"/>
      <c r="C28" s="417"/>
      <c r="D28" s="418"/>
      <c r="E28" s="418"/>
      <c r="F28" s="418"/>
      <c r="G28" s="418"/>
      <c r="H28" s="418"/>
      <c r="I28" s="419"/>
      <c r="J28" s="418"/>
      <c r="K28" s="418"/>
      <c r="L28" s="420"/>
    </row>
    <row r="29" spans="1:12">
      <c r="A29" s="416"/>
      <c r="B29" s="416"/>
      <c r="C29" s="417"/>
      <c r="D29" s="418"/>
      <c r="E29" s="418"/>
      <c r="F29" s="418"/>
      <c r="G29" s="418"/>
      <c r="H29" s="418"/>
      <c r="I29" s="419"/>
      <c r="J29" s="418"/>
      <c r="K29" s="418"/>
      <c r="L29" s="420"/>
    </row>
    <row r="30" spans="1:12">
      <c r="A30" s="416"/>
      <c r="B30" s="416"/>
      <c r="C30" s="417"/>
      <c r="D30" s="418"/>
      <c r="E30" s="418"/>
      <c r="F30" s="418"/>
      <c r="G30" s="418"/>
      <c r="H30" s="418"/>
      <c r="I30" s="419"/>
      <c r="J30" s="418"/>
      <c r="K30" s="418"/>
      <c r="L30" s="420"/>
    </row>
    <row r="31" spans="1:12">
      <c r="A31" s="416"/>
      <c r="B31" s="416"/>
      <c r="C31" s="417"/>
      <c r="D31" s="418"/>
      <c r="E31" s="418"/>
      <c r="F31" s="418"/>
      <c r="G31" s="418"/>
      <c r="H31" s="418"/>
      <c r="I31" s="419"/>
      <c r="J31" s="418"/>
      <c r="K31" s="418"/>
      <c r="L31" s="420"/>
    </row>
    <row r="32" spans="1:12">
      <c r="A32" s="416"/>
      <c r="B32" s="416"/>
      <c r="C32" s="417"/>
      <c r="D32" s="418"/>
      <c r="E32" s="418"/>
      <c r="F32" s="418"/>
      <c r="G32" s="418"/>
      <c r="H32" s="418"/>
      <c r="I32" s="419"/>
      <c r="J32" s="418"/>
      <c r="K32" s="418"/>
      <c r="L32" s="420"/>
    </row>
    <row r="33" spans="1:12">
      <c r="A33" s="416"/>
      <c r="B33" s="416"/>
      <c r="C33" s="417"/>
      <c r="D33" s="418"/>
      <c r="E33" s="418"/>
      <c r="F33" s="418"/>
      <c r="G33" s="418"/>
      <c r="H33" s="418"/>
      <c r="I33" s="419"/>
      <c r="J33" s="418"/>
      <c r="K33" s="418"/>
      <c r="L33" s="420"/>
    </row>
    <row r="34" spans="1:12">
      <c r="A34" s="416"/>
      <c r="B34" s="416"/>
      <c r="C34" s="417"/>
      <c r="D34" s="418"/>
      <c r="E34" s="418"/>
      <c r="F34" s="418"/>
      <c r="G34" s="418"/>
      <c r="H34" s="418"/>
      <c r="I34" s="419"/>
      <c r="J34" s="418"/>
      <c r="K34" s="418"/>
      <c r="L34" s="420"/>
    </row>
    <row r="35" spans="1:12">
      <c r="A35" s="416"/>
      <c r="B35" s="416"/>
      <c r="C35" s="417"/>
      <c r="D35" s="418"/>
      <c r="E35" s="418"/>
      <c r="F35" s="418"/>
      <c r="G35" s="418"/>
      <c r="H35" s="418"/>
      <c r="I35" s="419"/>
      <c r="J35" s="418"/>
      <c r="K35" s="418"/>
      <c r="L35" s="420"/>
    </row>
    <row r="36" spans="1:12">
      <c r="A36" s="416"/>
      <c r="B36" s="416"/>
      <c r="C36" s="417"/>
      <c r="D36" s="418"/>
      <c r="E36" s="418"/>
      <c r="F36" s="418"/>
      <c r="G36" s="418"/>
      <c r="H36" s="418"/>
      <c r="I36" s="419"/>
      <c r="J36" s="418"/>
      <c r="K36" s="418"/>
      <c r="L36" s="420"/>
    </row>
    <row r="37" spans="1:12">
      <c r="A37" s="416"/>
      <c r="B37" s="416"/>
      <c r="C37" s="417"/>
      <c r="D37" s="418"/>
      <c r="E37" s="418"/>
      <c r="F37" s="418"/>
      <c r="G37" s="418"/>
      <c r="H37" s="418"/>
      <c r="I37" s="419"/>
      <c r="J37" s="418"/>
      <c r="K37" s="418"/>
      <c r="L37" s="420"/>
    </row>
    <row r="38" spans="1:12">
      <c r="A38" s="416"/>
      <c r="B38" s="416"/>
      <c r="C38" s="417"/>
      <c r="D38" s="418"/>
      <c r="E38" s="418"/>
      <c r="F38" s="418"/>
      <c r="G38" s="418"/>
      <c r="H38" s="418"/>
      <c r="I38" s="419"/>
      <c r="J38" s="418"/>
      <c r="K38" s="418"/>
      <c r="L38" s="420"/>
    </row>
    <row r="39" spans="1:12">
      <c r="A39" s="416"/>
      <c r="B39" s="416"/>
      <c r="C39" s="417"/>
      <c r="D39" s="418"/>
      <c r="E39" s="418"/>
      <c r="F39" s="418"/>
      <c r="G39" s="418"/>
      <c r="H39" s="418"/>
      <c r="I39" s="419"/>
      <c r="J39" s="418"/>
      <c r="K39" s="418"/>
      <c r="L39" s="420"/>
    </row>
    <row r="40" spans="1:12">
      <c r="A40" s="416"/>
      <c r="B40" s="416"/>
      <c r="C40" s="417"/>
      <c r="D40" s="418"/>
      <c r="E40" s="418"/>
      <c r="F40" s="418"/>
      <c r="G40" s="418"/>
      <c r="H40" s="418"/>
      <c r="I40" s="419"/>
      <c r="J40" s="418"/>
      <c r="K40" s="418"/>
      <c r="L40" s="420"/>
    </row>
    <row r="41" spans="1:12">
      <c r="A41" s="416"/>
      <c r="B41" s="416"/>
      <c r="C41" s="417"/>
      <c r="D41" s="418"/>
      <c r="E41" s="418"/>
      <c r="F41" s="418"/>
      <c r="G41" s="418"/>
      <c r="H41" s="418"/>
      <c r="I41" s="419"/>
      <c r="J41" s="418"/>
      <c r="K41" s="418"/>
      <c r="L41" s="420"/>
    </row>
    <row r="42" spans="1:12">
      <c r="A42" s="416"/>
      <c r="B42" s="416"/>
      <c r="C42" s="417"/>
      <c r="D42" s="418"/>
      <c r="E42" s="418"/>
      <c r="F42" s="418"/>
      <c r="G42" s="418"/>
      <c r="H42" s="418"/>
      <c r="I42" s="419"/>
      <c r="J42" s="418"/>
      <c r="K42" s="418"/>
      <c r="L42" s="420"/>
    </row>
    <row r="43" spans="1:12">
      <c r="A43" s="416"/>
      <c r="B43" s="416"/>
      <c r="C43" s="417"/>
      <c r="D43" s="418"/>
      <c r="E43" s="418"/>
      <c r="F43" s="418"/>
      <c r="G43" s="418"/>
      <c r="H43" s="418"/>
      <c r="I43" s="419"/>
      <c r="J43" s="418"/>
      <c r="K43" s="418"/>
      <c r="L43" s="420"/>
    </row>
    <row r="44" spans="1:12">
      <c r="A44" s="416"/>
      <c r="B44" s="416"/>
      <c r="C44" s="417"/>
      <c r="D44" s="418"/>
      <c r="E44" s="418"/>
      <c r="F44" s="418"/>
      <c r="G44" s="418"/>
      <c r="H44" s="418"/>
      <c r="I44" s="419"/>
      <c r="J44" s="418"/>
      <c r="K44" s="418"/>
      <c r="L44" s="420"/>
    </row>
    <row r="45" spans="1:12">
      <c r="A45" s="416"/>
      <c r="B45" s="416"/>
      <c r="C45" s="417"/>
      <c r="D45" s="418"/>
      <c r="E45" s="418"/>
      <c r="F45" s="418"/>
      <c r="G45" s="418"/>
      <c r="H45" s="418"/>
      <c r="I45" s="419"/>
      <c r="J45" s="418"/>
      <c r="K45" s="418"/>
      <c r="L45" s="420"/>
    </row>
    <row r="46" spans="1:12">
      <c r="A46" s="416"/>
      <c r="B46" s="416"/>
      <c r="C46" s="417"/>
      <c r="D46" s="418"/>
      <c r="E46" s="418"/>
      <c r="F46" s="418"/>
      <c r="G46" s="418"/>
      <c r="H46" s="418"/>
      <c r="I46" s="419"/>
      <c r="J46" s="418"/>
      <c r="K46" s="418"/>
      <c r="L46" s="420"/>
    </row>
    <row r="47" spans="1:12">
      <c r="A47" s="416"/>
      <c r="B47" s="416"/>
      <c r="C47" s="417"/>
      <c r="D47" s="418"/>
      <c r="E47" s="418"/>
      <c r="F47" s="418"/>
      <c r="G47" s="418"/>
      <c r="H47" s="418"/>
      <c r="I47" s="419"/>
      <c r="J47" s="418"/>
      <c r="K47" s="418"/>
      <c r="L47" s="420"/>
    </row>
    <row r="48" spans="1:12">
      <c r="A48" s="416"/>
      <c r="B48" s="416"/>
      <c r="C48" s="417"/>
      <c r="D48" s="418"/>
      <c r="E48" s="418"/>
      <c r="F48" s="418"/>
      <c r="G48" s="418"/>
      <c r="H48" s="418"/>
      <c r="I48" s="419"/>
      <c r="J48" s="418"/>
      <c r="K48" s="418"/>
      <c r="L48" s="420"/>
    </row>
    <row r="49" spans="1:12">
      <c r="A49" s="416"/>
      <c r="B49" s="416"/>
      <c r="C49" s="417"/>
      <c r="D49" s="418"/>
      <c r="E49" s="418"/>
      <c r="F49" s="418"/>
      <c r="G49" s="418"/>
      <c r="H49" s="418"/>
      <c r="I49" s="419"/>
      <c r="J49" s="418"/>
      <c r="K49" s="418"/>
      <c r="L49" s="420"/>
    </row>
    <row r="50" spans="1:12">
      <c r="A50" s="416"/>
      <c r="B50" s="416"/>
      <c r="C50" s="417"/>
      <c r="D50" s="418"/>
      <c r="E50" s="418"/>
      <c r="F50" s="418"/>
      <c r="G50" s="418"/>
      <c r="H50" s="418"/>
      <c r="I50" s="419"/>
      <c r="J50" s="418"/>
      <c r="K50" s="418"/>
      <c r="L50" s="420"/>
    </row>
    <row r="51" spans="1:12">
      <c r="A51" s="416"/>
      <c r="B51" s="416"/>
      <c r="C51" s="417"/>
      <c r="D51" s="418"/>
      <c r="E51" s="418"/>
      <c r="F51" s="418"/>
      <c r="G51" s="418"/>
      <c r="H51" s="418"/>
      <c r="I51" s="419"/>
      <c r="J51" s="418"/>
      <c r="K51" s="418"/>
      <c r="L51" s="420"/>
    </row>
    <row r="52" spans="1:12">
      <c r="A52" s="416"/>
      <c r="B52" s="416"/>
      <c r="C52" s="417"/>
      <c r="D52" s="418"/>
      <c r="E52" s="418"/>
      <c r="F52" s="418"/>
      <c r="G52" s="418"/>
      <c r="H52" s="418"/>
      <c r="I52" s="419"/>
      <c r="J52" s="418"/>
      <c r="K52" s="418"/>
      <c r="L52" s="420"/>
    </row>
    <row r="53" spans="1:12">
      <c r="A53" s="416"/>
      <c r="B53" s="416"/>
      <c r="C53" s="417"/>
      <c r="D53" s="418"/>
      <c r="E53" s="418"/>
      <c r="F53" s="418"/>
      <c r="G53" s="418"/>
      <c r="H53" s="418"/>
      <c r="I53" s="419"/>
      <c r="J53" s="418"/>
      <c r="K53" s="418"/>
      <c r="L53" s="420"/>
    </row>
    <row r="54" spans="1:12">
      <c r="A54" s="416"/>
      <c r="B54" s="416"/>
      <c r="C54" s="417"/>
      <c r="D54" s="418"/>
      <c r="E54" s="418"/>
      <c r="F54" s="418"/>
      <c r="G54" s="418"/>
      <c r="H54" s="418"/>
      <c r="I54" s="419"/>
      <c r="J54" s="418"/>
      <c r="K54" s="418"/>
      <c r="L54" s="420"/>
    </row>
    <row r="55" spans="1:12">
      <c r="A55" s="416"/>
      <c r="B55" s="416"/>
      <c r="C55" s="417"/>
      <c r="D55" s="418"/>
      <c r="E55" s="418"/>
      <c r="F55" s="418"/>
      <c r="G55" s="418"/>
      <c r="H55" s="418"/>
      <c r="I55" s="419"/>
      <c r="J55" s="418"/>
      <c r="K55" s="418"/>
      <c r="L55" s="420"/>
    </row>
    <row r="56" spans="1:12">
      <c r="A56" s="416"/>
      <c r="B56" s="416"/>
      <c r="C56" s="417"/>
      <c r="D56" s="418"/>
      <c r="E56" s="418"/>
      <c r="F56" s="418"/>
      <c r="G56" s="418"/>
      <c r="H56" s="418"/>
      <c r="I56" s="419"/>
      <c r="J56" s="418"/>
      <c r="K56" s="418"/>
      <c r="L56" s="420"/>
    </row>
    <row r="57" spans="1:12">
      <c r="A57" s="416"/>
      <c r="B57" s="416"/>
      <c r="C57" s="417"/>
      <c r="D57" s="418"/>
      <c r="E57" s="418"/>
      <c r="F57" s="418"/>
      <c r="G57" s="418"/>
      <c r="H57" s="418"/>
      <c r="I57" s="419"/>
      <c r="J57" s="418"/>
      <c r="K57" s="418"/>
      <c r="L57" s="420"/>
    </row>
    <row r="58" spans="1:12">
      <c r="A58" s="416"/>
      <c r="B58" s="416"/>
      <c r="C58" s="417"/>
      <c r="D58" s="418"/>
      <c r="E58" s="418"/>
      <c r="F58" s="418"/>
      <c r="G58" s="418"/>
      <c r="H58" s="418"/>
      <c r="I58" s="419"/>
      <c r="J58" s="418"/>
      <c r="K58" s="418"/>
      <c r="L58" s="420"/>
    </row>
    <row r="59" spans="1:12">
      <c r="A59" s="416"/>
      <c r="B59" s="416"/>
      <c r="C59" s="417"/>
      <c r="D59" s="418"/>
      <c r="E59" s="418"/>
      <c r="F59" s="418"/>
      <c r="G59" s="418"/>
      <c r="H59" s="418"/>
      <c r="I59" s="419"/>
      <c r="J59" s="418"/>
      <c r="K59" s="418"/>
      <c r="L59" s="420"/>
    </row>
    <row r="60" spans="1:12">
      <c r="A60" s="416"/>
      <c r="B60" s="416"/>
      <c r="C60" s="417"/>
      <c r="D60" s="418"/>
      <c r="E60" s="418"/>
      <c r="F60" s="418"/>
      <c r="G60" s="418"/>
      <c r="H60" s="418"/>
      <c r="I60" s="419"/>
      <c r="J60" s="418"/>
      <c r="K60" s="418"/>
      <c r="L60" s="420"/>
    </row>
    <row r="61" spans="1:12">
      <c r="A61" s="416"/>
      <c r="B61" s="416"/>
      <c r="C61" s="417"/>
      <c r="D61" s="418"/>
      <c r="E61" s="418"/>
      <c r="F61" s="418"/>
      <c r="G61" s="418"/>
      <c r="H61" s="418"/>
      <c r="I61" s="419"/>
      <c r="J61" s="418"/>
      <c r="K61" s="418"/>
      <c r="L61" s="420"/>
    </row>
    <row r="62" spans="1:12">
      <c r="A62" s="416"/>
      <c r="B62" s="416"/>
      <c r="C62" s="417"/>
      <c r="D62" s="418"/>
      <c r="E62" s="418"/>
      <c r="F62" s="418"/>
      <c r="G62" s="418"/>
      <c r="H62" s="418"/>
      <c r="I62" s="419"/>
      <c r="J62" s="418"/>
      <c r="K62" s="418"/>
      <c r="L62" s="420"/>
    </row>
    <row r="63" spans="1:12">
      <c r="A63" s="416"/>
      <c r="B63" s="416"/>
      <c r="C63" s="417"/>
      <c r="D63" s="418"/>
      <c r="E63" s="418"/>
      <c r="F63" s="418"/>
      <c r="G63" s="418"/>
      <c r="H63" s="418"/>
      <c r="I63" s="419"/>
      <c r="J63" s="418"/>
      <c r="K63" s="418"/>
      <c r="L63" s="420"/>
    </row>
    <row r="64" spans="1:12">
      <c r="A64" s="416"/>
      <c r="B64" s="416"/>
      <c r="C64" s="417"/>
      <c r="D64" s="418"/>
      <c r="E64" s="418"/>
      <c r="F64" s="418"/>
      <c r="G64" s="418"/>
      <c r="H64" s="418"/>
      <c r="I64" s="419"/>
      <c r="J64" s="418"/>
      <c r="K64" s="418"/>
      <c r="L64" s="420"/>
    </row>
    <row r="65" spans="1:12">
      <c r="A65" s="416"/>
      <c r="B65" s="416"/>
      <c r="C65" s="417"/>
      <c r="D65" s="418"/>
      <c r="E65" s="418"/>
      <c r="F65" s="418"/>
      <c r="G65" s="418"/>
      <c r="H65" s="418"/>
      <c r="I65" s="419"/>
      <c r="J65" s="418"/>
      <c r="K65" s="418"/>
      <c r="L65" s="420"/>
    </row>
    <row r="66" spans="1:12">
      <c r="A66" s="416"/>
      <c r="B66" s="416"/>
      <c r="C66" s="417"/>
      <c r="D66" s="418"/>
      <c r="E66" s="418"/>
      <c r="F66" s="418"/>
      <c r="G66" s="418"/>
      <c r="H66" s="418"/>
      <c r="I66" s="419"/>
      <c r="J66" s="418"/>
      <c r="K66" s="418"/>
      <c r="L66" s="420"/>
    </row>
    <row r="67" spans="1:12">
      <c r="A67" s="416"/>
      <c r="B67" s="416"/>
      <c r="C67" s="417"/>
      <c r="D67" s="418"/>
      <c r="E67" s="418"/>
      <c r="F67" s="418"/>
      <c r="G67" s="418"/>
      <c r="H67" s="418"/>
      <c r="I67" s="419"/>
      <c r="J67" s="418"/>
      <c r="K67" s="418"/>
      <c r="L67" s="420"/>
    </row>
    <row r="68" spans="1:12">
      <c r="A68" s="416"/>
      <c r="B68" s="416"/>
      <c r="C68" s="417"/>
      <c r="D68" s="418"/>
      <c r="E68" s="418"/>
      <c r="F68" s="418"/>
      <c r="G68" s="418"/>
      <c r="H68" s="418"/>
      <c r="I68" s="419"/>
      <c r="J68" s="418"/>
      <c r="K68" s="418"/>
      <c r="L68" s="420"/>
    </row>
    <row r="69" spans="1:12">
      <c r="A69" s="416"/>
      <c r="B69" s="416"/>
      <c r="C69" s="417"/>
      <c r="D69" s="418"/>
      <c r="E69" s="418"/>
      <c r="F69" s="418"/>
      <c r="G69" s="418"/>
      <c r="H69" s="418"/>
      <c r="I69" s="419"/>
      <c r="J69" s="418"/>
      <c r="K69" s="418"/>
      <c r="L69" s="420"/>
    </row>
    <row r="70" spans="1:12">
      <c r="A70" s="416"/>
      <c r="B70" s="416"/>
      <c r="C70" s="417"/>
      <c r="D70" s="418"/>
      <c r="E70" s="418"/>
      <c r="F70" s="418"/>
      <c r="G70" s="418"/>
      <c r="H70" s="418"/>
      <c r="I70" s="419"/>
      <c r="J70" s="418"/>
      <c r="K70" s="418"/>
      <c r="L70" s="420"/>
    </row>
    <row r="71" spans="1:12">
      <c r="A71" s="416"/>
      <c r="B71" s="416"/>
      <c r="C71" s="417"/>
      <c r="D71" s="418"/>
      <c r="E71" s="418"/>
      <c r="F71" s="418"/>
      <c r="G71" s="418"/>
      <c r="H71" s="418"/>
      <c r="I71" s="419"/>
      <c r="J71" s="418"/>
      <c r="K71" s="418"/>
      <c r="L71" s="420"/>
    </row>
    <row r="72" spans="1:12">
      <c r="A72" s="416"/>
      <c r="B72" s="416"/>
      <c r="C72" s="417"/>
      <c r="D72" s="418"/>
      <c r="E72" s="418"/>
      <c r="F72" s="418"/>
      <c r="G72" s="418"/>
      <c r="H72" s="418"/>
      <c r="I72" s="419"/>
      <c r="J72" s="418"/>
      <c r="K72" s="418"/>
      <c r="L72" s="420"/>
    </row>
    <row r="73" spans="1:12">
      <c r="A73" s="416"/>
      <c r="B73" s="416"/>
      <c r="C73" s="417"/>
      <c r="D73" s="418"/>
      <c r="E73" s="418"/>
      <c r="F73" s="418"/>
      <c r="G73" s="418"/>
      <c r="H73" s="418"/>
      <c r="I73" s="419"/>
      <c r="J73" s="418"/>
      <c r="K73" s="418"/>
      <c r="L73" s="420"/>
    </row>
    <row r="74" spans="1:12">
      <c r="A74" s="416"/>
      <c r="B74" s="416"/>
      <c r="C74" s="417"/>
      <c r="D74" s="418"/>
      <c r="E74" s="418"/>
      <c r="F74" s="418"/>
      <c r="G74" s="418"/>
      <c r="H74" s="418"/>
      <c r="I74" s="419"/>
      <c r="J74" s="418"/>
      <c r="K74" s="418"/>
      <c r="L74" s="420"/>
    </row>
    <row r="75" spans="1:12">
      <c r="A75" s="416"/>
      <c r="B75" s="416"/>
      <c r="C75" s="417"/>
      <c r="D75" s="418"/>
      <c r="E75" s="418"/>
      <c r="F75" s="418"/>
      <c r="G75" s="418"/>
      <c r="H75" s="418"/>
      <c r="I75" s="419"/>
      <c r="J75" s="418"/>
      <c r="K75" s="418"/>
      <c r="L75" s="420"/>
    </row>
    <row r="76" spans="1:12">
      <c r="A76" s="416"/>
      <c r="B76" s="416"/>
      <c r="C76" s="417"/>
      <c r="D76" s="418"/>
      <c r="E76" s="418"/>
      <c r="F76" s="418"/>
      <c r="G76" s="418"/>
      <c r="H76" s="418"/>
      <c r="I76" s="419"/>
      <c r="J76" s="418"/>
      <c r="K76" s="418"/>
      <c r="L76" s="420"/>
    </row>
    <row r="77" spans="1:12">
      <c r="A77" s="416"/>
      <c r="B77" s="416"/>
      <c r="C77" s="417"/>
      <c r="D77" s="418"/>
      <c r="E77" s="418"/>
      <c r="F77" s="418"/>
      <c r="G77" s="418"/>
      <c r="H77" s="418"/>
      <c r="I77" s="419"/>
      <c r="J77" s="418"/>
      <c r="K77" s="418"/>
      <c r="L77" s="420"/>
    </row>
    <row r="78" spans="1:12">
      <c r="A78" s="416"/>
      <c r="B78" s="416"/>
      <c r="C78" s="417"/>
      <c r="D78" s="418"/>
      <c r="E78" s="418"/>
      <c r="F78" s="418"/>
      <c r="G78" s="418"/>
      <c r="H78" s="418"/>
      <c r="I78" s="419"/>
      <c r="J78" s="418"/>
      <c r="K78" s="418"/>
      <c r="L78" s="420"/>
    </row>
    <row r="79" spans="1:12">
      <c r="A79" s="416"/>
      <c r="B79" s="416"/>
      <c r="C79" s="417"/>
      <c r="D79" s="418"/>
      <c r="E79" s="418"/>
      <c r="F79" s="418"/>
      <c r="G79" s="418"/>
      <c r="H79" s="418"/>
      <c r="I79" s="419"/>
      <c r="J79" s="418"/>
      <c r="K79" s="418"/>
      <c r="L79" s="420"/>
    </row>
    <row r="80" spans="1:12">
      <c r="A80" s="416"/>
      <c r="B80" s="416"/>
      <c r="C80" s="417"/>
      <c r="D80" s="418"/>
      <c r="E80" s="418"/>
      <c r="F80" s="418"/>
      <c r="G80" s="418"/>
      <c r="H80" s="418"/>
      <c r="I80" s="419"/>
      <c r="J80" s="418"/>
      <c r="K80" s="418"/>
      <c r="L80" s="420"/>
    </row>
    <row r="81" spans="1:12">
      <c r="A81" s="416"/>
      <c r="B81" s="416"/>
      <c r="C81" s="417"/>
      <c r="D81" s="418"/>
      <c r="E81" s="418"/>
      <c r="F81" s="418"/>
      <c r="G81" s="418"/>
      <c r="H81" s="418"/>
      <c r="I81" s="419"/>
      <c r="J81" s="418"/>
      <c r="K81" s="418"/>
      <c r="L81" s="420"/>
    </row>
    <row r="82" spans="1:12">
      <c r="A82" s="416"/>
      <c r="B82" s="416"/>
      <c r="C82" s="417"/>
      <c r="D82" s="418"/>
      <c r="E82" s="418"/>
      <c r="F82" s="418"/>
      <c r="G82" s="418"/>
      <c r="H82" s="418"/>
      <c r="I82" s="419"/>
      <c r="J82" s="418"/>
      <c r="K82" s="418"/>
      <c r="L82" s="420"/>
    </row>
    <row r="83" spans="1:12">
      <c r="A83" s="416"/>
      <c r="B83" s="416"/>
      <c r="C83" s="417"/>
      <c r="D83" s="418"/>
      <c r="E83" s="418"/>
      <c r="F83" s="418"/>
      <c r="G83" s="418"/>
      <c r="H83" s="418"/>
      <c r="I83" s="419"/>
      <c r="J83" s="418"/>
      <c r="K83" s="418"/>
      <c r="L83" s="420"/>
    </row>
    <row r="84" spans="1:12">
      <c r="A84" s="416"/>
      <c r="B84" s="416"/>
      <c r="C84" s="417"/>
      <c r="D84" s="418"/>
      <c r="E84" s="418"/>
      <c r="F84" s="418"/>
      <c r="G84" s="418"/>
      <c r="H84" s="418"/>
      <c r="I84" s="419"/>
      <c r="J84" s="418"/>
      <c r="K84" s="418"/>
      <c r="L84" s="420"/>
    </row>
    <row r="85" spans="1:12">
      <c r="A85" s="416"/>
      <c r="B85" s="416"/>
      <c r="C85" s="417"/>
      <c r="D85" s="418"/>
      <c r="E85" s="418"/>
      <c r="F85" s="418"/>
      <c r="G85" s="418"/>
      <c r="H85" s="418"/>
      <c r="I85" s="419"/>
      <c r="J85" s="418"/>
      <c r="K85" s="418"/>
      <c r="L85" s="420"/>
    </row>
    <row r="86" spans="1:12">
      <c r="A86" s="416"/>
      <c r="B86" s="416"/>
      <c r="C86" s="417"/>
      <c r="D86" s="418"/>
      <c r="E86" s="418"/>
      <c r="F86" s="418"/>
      <c r="G86" s="418"/>
      <c r="H86" s="418"/>
      <c r="I86" s="419"/>
      <c r="J86" s="418"/>
      <c r="K86" s="418"/>
      <c r="L86" s="420"/>
    </row>
    <row r="87" spans="1:12">
      <c r="A87" s="416"/>
      <c r="B87" s="416"/>
      <c r="C87" s="417"/>
      <c r="D87" s="418"/>
      <c r="E87" s="418"/>
      <c r="F87" s="418"/>
      <c r="G87" s="418"/>
      <c r="H87" s="418"/>
      <c r="I87" s="419"/>
      <c r="J87" s="418"/>
      <c r="K87" s="418"/>
      <c r="L87" s="420"/>
    </row>
    <row r="88" spans="1:12">
      <c r="A88" s="416"/>
      <c r="B88" s="416"/>
      <c r="C88" s="417"/>
      <c r="D88" s="418"/>
      <c r="E88" s="418"/>
      <c r="F88" s="418"/>
      <c r="G88" s="418"/>
      <c r="H88" s="418"/>
      <c r="I88" s="419"/>
      <c r="J88" s="418"/>
      <c r="K88" s="418"/>
      <c r="L88" s="420"/>
    </row>
    <row r="89" spans="1:12">
      <c r="A89" s="416"/>
      <c r="B89" s="416"/>
      <c r="C89" s="417"/>
      <c r="D89" s="418"/>
      <c r="E89" s="418"/>
      <c r="F89" s="418"/>
      <c r="G89" s="418"/>
      <c r="H89" s="418"/>
      <c r="I89" s="419"/>
      <c r="J89" s="418"/>
      <c r="K89" s="418"/>
      <c r="L89" s="420"/>
    </row>
    <row r="90" spans="1:12">
      <c r="A90" s="416"/>
      <c r="B90" s="416"/>
      <c r="C90" s="417"/>
      <c r="D90" s="418"/>
      <c r="E90" s="418"/>
      <c r="F90" s="418"/>
      <c r="G90" s="418"/>
      <c r="H90" s="418"/>
      <c r="I90" s="419"/>
      <c r="J90" s="418"/>
      <c r="K90" s="418"/>
      <c r="L90" s="420"/>
    </row>
    <row r="91" spans="1:12">
      <c r="A91" s="416"/>
      <c r="B91" s="416"/>
      <c r="C91" s="417"/>
      <c r="D91" s="418"/>
      <c r="E91" s="418"/>
      <c r="F91" s="418"/>
      <c r="G91" s="418"/>
      <c r="H91" s="418"/>
      <c r="I91" s="419"/>
      <c r="J91" s="418"/>
      <c r="K91" s="418"/>
      <c r="L91" s="420"/>
    </row>
    <row r="92" spans="1:12">
      <c r="A92" s="416"/>
      <c r="B92" s="416"/>
      <c r="C92" s="417"/>
      <c r="D92" s="418"/>
      <c r="E92" s="418"/>
      <c r="F92" s="418"/>
      <c r="G92" s="418"/>
      <c r="H92" s="418"/>
      <c r="I92" s="419"/>
      <c r="J92" s="418"/>
      <c r="K92" s="418"/>
      <c r="L92" s="420"/>
    </row>
    <row r="93" spans="1:12">
      <c r="A93" s="416"/>
      <c r="B93" s="416"/>
      <c r="C93" s="417"/>
      <c r="D93" s="418"/>
      <c r="E93" s="418"/>
      <c r="F93" s="418"/>
      <c r="G93" s="418"/>
      <c r="H93" s="418"/>
      <c r="I93" s="419"/>
      <c r="J93" s="418"/>
      <c r="K93" s="418"/>
      <c r="L93" s="420"/>
    </row>
    <row r="94" spans="1:12">
      <c r="A94" s="416"/>
      <c r="B94" s="416"/>
      <c r="C94" s="417"/>
      <c r="D94" s="418"/>
      <c r="E94" s="418"/>
      <c r="F94" s="418"/>
      <c r="G94" s="418"/>
      <c r="H94" s="418"/>
      <c r="I94" s="419"/>
      <c r="J94" s="418"/>
      <c r="K94" s="418"/>
      <c r="L94" s="420"/>
    </row>
    <row r="95" spans="1:12">
      <c r="A95" s="416"/>
      <c r="B95" s="416"/>
      <c r="C95" s="417"/>
      <c r="D95" s="418"/>
      <c r="E95" s="418"/>
      <c r="F95" s="418"/>
      <c r="G95" s="418"/>
      <c r="H95" s="418"/>
      <c r="I95" s="419"/>
      <c r="J95" s="418"/>
      <c r="K95" s="418"/>
      <c r="L95" s="420"/>
    </row>
    <row r="96" spans="1:12">
      <c r="A96" s="416"/>
      <c r="B96" s="416"/>
      <c r="C96" s="417"/>
      <c r="D96" s="418"/>
      <c r="E96" s="418"/>
      <c r="F96" s="418"/>
      <c r="G96" s="418"/>
      <c r="H96" s="418"/>
      <c r="I96" s="419"/>
      <c r="J96" s="418"/>
      <c r="K96" s="418"/>
      <c r="L96" s="420"/>
    </row>
    <row r="97" spans="1:12">
      <c r="A97" s="416"/>
      <c r="B97" s="416"/>
      <c r="C97" s="417"/>
      <c r="D97" s="418"/>
      <c r="E97" s="418"/>
      <c r="F97" s="418"/>
      <c r="G97" s="418"/>
      <c r="H97" s="418"/>
      <c r="I97" s="419"/>
      <c r="J97" s="418"/>
      <c r="K97" s="418"/>
      <c r="L97" s="420"/>
    </row>
    <row r="98" spans="1:12">
      <c r="A98" s="416"/>
      <c r="B98" s="416"/>
      <c r="C98" s="417"/>
      <c r="D98" s="418"/>
      <c r="E98" s="418"/>
      <c r="F98" s="418"/>
      <c r="G98" s="418"/>
      <c r="H98" s="418"/>
      <c r="I98" s="419"/>
      <c r="J98" s="418"/>
      <c r="K98" s="418"/>
      <c r="L98" s="420"/>
    </row>
    <row r="99" spans="1:12">
      <c r="A99" s="416"/>
      <c r="B99" s="416"/>
      <c r="C99" s="417"/>
      <c r="D99" s="418"/>
      <c r="E99" s="418"/>
      <c r="F99" s="418"/>
      <c r="G99" s="418"/>
      <c r="H99" s="418"/>
      <c r="I99" s="419"/>
      <c r="J99" s="418"/>
      <c r="K99" s="418"/>
      <c r="L99" s="420"/>
    </row>
    <row r="100" spans="1:12">
      <c r="A100" s="416"/>
      <c r="B100" s="416"/>
      <c r="C100" s="417"/>
      <c r="D100" s="418"/>
      <c r="E100" s="418"/>
      <c r="F100" s="418"/>
      <c r="G100" s="418"/>
      <c r="H100" s="418"/>
      <c r="I100" s="419"/>
      <c r="J100" s="418"/>
      <c r="K100" s="418"/>
      <c r="L100" s="420"/>
    </row>
    <row r="101" spans="1:12">
      <c r="A101" s="416"/>
      <c r="B101" s="416"/>
      <c r="C101" s="417"/>
      <c r="D101" s="418"/>
      <c r="E101" s="418"/>
      <c r="F101" s="418"/>
      <c r="G101" s="418"/>
      <c r="H101" s="418"/>
      <c r="I101" s="419"/>
      <c r="J101" s="418"/>
      <c r="K101" s="418"/>
      <c r="L101" s="420"/>
    </row>
    <row r="102" spans="1:12">
      <c r="A102" s="416"/>
      <c r="B102" s="416"/>
      <c r="C102" s="417"/>
      <c r="D102" s="418"/>
      <c r="E102" s="418"/>
      <c r="F102" s="418"/>
      <c r="G102" s="418"/>
      <c r="H102" s="418"/>
      <c r="I102" s="419"/>
      <c r="J102" s="418"/>
      <c r="K102" s="418"/>
      <c r="L102" s="420"/>
    </row>
    <row r="103" spans="1:12">
      <c r="A103" s="416"/>
      <c r="B103" s="416"/>
      <c r="C103" s="417"/>
      <c r="D103" s="418"/>
      <c r="E103" s="418"/>
      <c r="F103" s="418"/>
      <c r="G103" s="418"/>
      <c r="H103" s="418"/>
      <c r="I103" s="419"/>
      <c r="J103" s="418"/>
      <c r="K103" s="418"/>
      <c r="L103" s="420"/>
    </row>
    <row r="105" spans="1:12">
      <c r="A105" s="421"/>
      <c r="B105" s="421"/>
    </row>
  </sheetData>
  <autoFilter ref="A2:AX2" xr:uid="{0B8A479F-C3A3-4852-B87B-EAFC60BB91BC}"/>
  <sortState ref="A3:AG6">
    <sortCondition ref="A3:A6"/>
  </sortState>
  <mergeCells count="1">
    <mergeCell ref="A1:AG1"/>
  </mergeCells>
  <phoneticPr fontId="2" type="noConversion"/>
  <printOptions horizontalCentered="1"/>
  <pageMargins left="0.70866141732283472" right="0.70866141732283472" top="0.74803149606299213" bottom="0.74803149606299213" header="0.31496062992125984" footer="0.31496062992125984"/>
  <pageSetup paperSize="9" orientation="landscape"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019DA-BA4A-46A9-8BEC-B622B1312748}">
  <dimension ref="A1:N47"/>
  <sheetViews>
    <sheetView topLeftCell="B31" workbookViewId="0">
      <selection activeCell="I25" sqref="I25"/>
    </sheetView>
  </sheetViews>
  <sheetFormatPr defaultRowHeight="14"/>
  <cols>
    <col min="1" max="1" width="9" style="320"/>
    <col min="2" max="2" width="11.36328125" style="320" customWidth="1"/>
    <col min="3" max="3" width="17" style="319" customWidth="1"/>
    <col min="5" max="5" width="9" style="320"/>
    <col min="6" max="6" width="15.08984375" style="320" customWidth="1"/>
    <col min="7" max="7" width="8.7265625" style="320"/>
    <col min="8" max="8" width="17.7265625" customWidth="1"/>
    <col min="9" max="10" width="9" style="320"/>
    <col min="11" max="11" width="14.26953125" style="320" customWidth="1"/>
    <col min="12" max="12" width="8.7265625" style="320"/>
    <col min="13" max="13" width="22.26953125" customWidth="1"/>
  </cols>
  <sheetData>
    <row r="1" spans="1:14" s="82" customFormat="1" ht="65">
      <c r="A1" s="338" t="s">
        <v>59</v>
      </c>
      <c r="B1" s="338" t="s">
        <v>73</v>
      </c>
      <c r="C1" s="338" t="s">
        <v>1179</v>
      </c>
      <c r="D1" s="338" t="s">
        <v>878</v>
      </c>
      <c r="E1" s="338"/>
      <c r="F1" s="338" t="s">
        <v>59</v>
      </c>
      <c r="G1" s="338" t="s">
        <v>73</v>
      </c>
      <c r="H1" s="363" t="s">
        <v>948</v>
      </c>
      <c r="I1" s="338" t="s">
        <v>878</v>
      </c>
      <c r="J1" s="321"/>
      <c r="K1" s="338" t="s">
        <v>59</v>
      </c>
      <c r="L1" s="338" t="s">
        <v>73</v>
      </c>
      <c r="M1" s="338" t="s">
        <v>947</v>
      </c>
      <c r="N1" s="338" t="s">
        <v>878</v>
      </c>
    </row>
    <row r="2" spans="1:14">
      <c r="A2" s="369" t="s">
        <v>951</v>
      </c>
      <c r="B2" s="369" t="s">
        <v>952</v>
      </c>
      <c r="C2" s="370">
        <v>2.98</v>
      </c>
      <c r="D2" s="339" t="s">
        <v>1180</v>
      </c>
      <c r="F2" s="369" t="s">
        <v>1137</v>
      </c>
      <c r="G2" s="369" t="s">
        <v>1138</v>
      </c>
      <c r="H2" s="371">
        <v>4469707900</v>
      </c>
      <c r="I2" s="339" t="s">
        <v>1180</v>
      </c>
      <c r="K2" s="369" t="s">
        <v>1137</v>
      </c>
      <c r="L2" s="369" t="s">
        <v>1138</v>
      </c>
      <c r="M2" s="370">
        <v>2538693300</v>
      </c>
      <c r="N2" s="339" t="s">
        <v>1180</v>
      </c>
    </row>
    <row r="3" spans="1:14">
      <c r="A3" s="369" t="s">
        <v>1165</v>
      </c>
      <c r="B3" s="369" t="s">
        <v>1166</v>
      </c>
      <c r="C3" s="370">
        <v>2.64</v>
      </c>
      <c r="D3" s="339" t="s">
        <v>1180</v>
      </c>
      <c r="F3" s="369" t="s">
        <v>1133</v>
      </c>
      <c r="G3" s="369" t="s">
        <v>1134</v>
      </c>
      <c r="H3" s="371">
        <v>3987298900</v>
      </c>
      <c r="I3" s="339" t="s">
        <v>1180</v>
      </c>
      <c r="K3" s="369" t="s">
        <v>1155</v>
      </c>
      <c r="L3" s="369" t="s">
        <v>1156</v>
      </c>
      <c r="M3" s="370">
        <v>2308337700</v>
      </c>
      <c r="N3" s="339" t="s">
        <v>1180</v>
      </c>
    </row>
    <row r="4" spans="1:14">
      <c r="A4" s="369" t="s">
        <v>1113</v>
      </c>
      <c r="B4" s="369" t="s">
        <v>1114</v>
      </c>
      <c r="C4" s="370">
        <v>2.3433333333333333</v>
      </c>
      <c r="D4" s="339" t="s">
        <v>1180</v>
      </c>
      <c r="F4" s="369" t="s">
        <v>1155</v>
      </c>
      <c r="G4" s="369" t="s">
        <v>1156</v>
      </c>
      <c r="H4" s="371">
        <v>3832482600</v>
      </c>
      <c r="I4" s="339" t="s">
        <v>1180</v>
      </c>
      <c r="K4" s="369" t="s">
        <v>1133</v>
      </c>
      <c r="L4" s="369" t="s">
        <v>1134</v>
      </c>
      <c r="M4" s="370">
        <v>2173176600</v>
      </c>
      <c r="N4" s="339" t="s">
        <v>1180</v>
      </c>
    </row>
    <row r="5" spans="1:14">
      <c r="A5" s="369" t="s">
        <v>1141</v>
      </c>
      <c r="B5" s="369" t="s">
        <v>1142</v>
      </c>
      <c r="C5" s="370">
        <v>2.307066666666667</v>
      </c>
      <c r="D5" s="339" t="s">
        <v>1180</v>
      </c>
      <c r="F5" s="369" t="s">
        <v>1159</v>
      </c>
      <c r="G5" s="369" t="s">
        <v>1160</v>
      </c>
      <c r="H5" s="371">
        <v>3243216600</v>
      </c>
      <c r="I5" s="339" t="s">
        <v>1180</v>
      </c>
      <c r="K5" s="369" t="s">
        <v>1159</v>
      </c>
      <c r="L5" s="369" t="s">
        <v>1160</v>
      </c>
      <c r="M5" s="370">
        <v>1947687100</v>
      </c>
      <c r="N5" s="339" t="s">
        <v>1180</v>
      </c>
    </row>
    <row r="6" spans="1:14">
      <c r="A6" s="369" t="s">
        <v>959</v>
      </c>
      <c r="B6" s="369" t="s">
        <v>960</v>
      </c>
      <c r="C6" s="370">
        <v>2.2366666666666664</v>
      </c>
      <c r="D6" s="339" t="s">
        <v>1180</v>
      </c>
      <c r="F6" s="369" t="s">
        <v>1143</v>
      </c>
      <c r="G6" s="369" t="s">
        <v>1144</v>
      </c>
      <c r="H6" s="371">
        <v>1572663100</v>
      </c>
      <c r="I6" s="339" t="s">
        <v>1180</v>
      </c>
      <c r="K6" s="369" t="s">
        <v>1143</v>
      </c>
      <c r="L6" s="369" t="s">
        <v>1144</v>
      </c>
      <c r="M6" s="370">
        <v>791524500</v>
      </c>
      <c r="N6" s="339" t="s">
        <v>1180</v>
      </c>
    </row>
    <row r="7" spans="1:14">
      <c r="A7" s="369" t="s">
        <v>1161</v>
      </c>
      <c r="B7" s="369" t="s">
        <v>1162</v>
      </c>
      <c r="C7" s="370">
        <v>2.2233333333333332</v>
      </c>
      <c r="D7" s="339" t="s">
        <v>1180</v>
      </c>
      <c r="F7" s="369" t="s">
        <v>1135</v>
      </c>
      <c r="G7" s="369" t="s">
        <v>1136</v>
      </c>
      <c r="H7" s="371">
        <v>1406047200</v>
      </c>
      <c r="I7" s="339" t="s">
        <v>1180</v>
      </c>
      <c r="K7" s="369" t="s">
        <v>1135</v>
      </c>
      <c r="L7" s="369" t="s">
        <v>1136</v>
      </c>
      <c r="M7" s="370">
        <v>777206000</v>
      </c>
      <c r="N7" s="339" t="s">
        <v>1180</v>
      </c>
    </row>
    <row r="8" spans="1:14">
      <c r="A8" s="369" t="s">
        <v>1171</v>
      </c>
      <c r="B8" s="369" t="s">
        <v>1172</v>
      </c>
      <c r="C8" s="370">
        <v>2.2200000000000002</v>
      </c>
      <c r="D8" s="339" t="s">
        <v>1180</v>
      </c>
      <c r="F8" s="369" t="s">
        <v>1113</v>
      </c>
      <c r="G8" s="369" t="s">
        <v>1114</v>
      </c>
      <c r="H8" s="371">
        <v>1102848300</v>
      </c>
      <c r="I8" s="339" t="s">
        <v>1180</v>
      </c>
      <c r="K8" s="369" t="s">
        <v>1113</v>
      </c>
      <c r="L8" s="369" t="s">
        <v>1114</v>
      </c>
      <c r="M8" s="370">
        <v>625275500</v>
      </c>
      <c r="N8" s="339" t="s">
        <v>1180</v>
      </c>
    </row>
    <row r="9" spans="1:14">
      <c r="A9" s="369" t="s">
        <v>1143</v>
      </c>
      <c r="B9" s="369" t="s">
        <v>1144</v>
      </c>
      <c r="C9" s="370">
        <v>2.19</v>
      </c>
      <c r="D9" s="339" t="s">
        <v>1180</v>
      </c>
      <c r="F9" s="369" t="s">
        <v>1125</v>
      </c>
      <c r="G9" s="369" t="s">
        <v>1126</v>
      </c>
      <c r="H9" s="371">
        <v>1015832600</v>
      </c>
      <c r="I9" s="339" t="s">
        <v>1180</v>
      </c>
      <c r="K9" s="369" t="s">
        <v>1163</v>
      </c>
      <c r="L9" s="369" t="s">
        <v>1164</v>
      </c>
      <c r="M9" s="370">
        <v>538375000</v>
      </c>
      <c r="N9" s="339" t="s">
        <v>1180</v>
      </c>
    </row>
    <row r="10" spans="1:14">
      <c r="A10" s="369" t="s">
        <v>1153</v>
      </c>
      <c r="B10" s="369" t="s">
        <v>1154</v>
      </c>
      <c r="C10" s="370">
        <v>2.1633333333333336</v>
      </c>
      <c r="D10" s="339" t="s">
        <v>1180</v>
      </c>
      <c r="F10" s="369" t="s">
        <v>1163</v>
      </c>
      <c r="G10" s="369" t="s">
        <v>1164</v>
      </c>
      <c r="H10" s="371">
        <v>905248400</v>
      </c>
      <c r="I10" s="339" t="s">
        <v>1180</v>
      </c>
      <c r="K10" s="369" t="s">
        <v>1125</v>
      </c>
      <c r="L10" s="369" t="s">
        <v>1126</v>
      </c>
      <c r="M10" s="370">
        <v>533348300</v>
      </c>
      <c r="N10" s="339" t="s">
        <v>1180</v>
      </c>
    </row>
    <row r="11" spans="1:14">
      <c r="A11" s="369" t="s">
        <v>1115</v>
      </c>
      <c r="B11" s="369" t="s">
        <v>1116</v>
      </c>
      <c r="C11" s="370">
        <v>2.1349666666666667</v>
      </c>
      <c r="D11" s="339" t="s">
        <v>1180</v>
      </c>
      <c r="F11" s="369" t="s">
        <v>1107</v>
      </c>
      <c r="G11" s="369" t="s">
        <v>1108</v>
      </c>
      <c r="H11" s="371">
        <v>880832000</v>
      </c>
      <c r="I11" s="339" t="s">
        <v>1180</v>
      </c>
      <c r="K11" s="369" t="s">
        <v>1107</v>
      </c>
      <c r="L11" s="369" t="s">
        <v>1108</v>
      </c>
      <c r="M11" s="370">
        <v>480610400</v>
      </c>
      <c r="N11" s="339" t="s">
        <v>1180</v>
      </c>
    </row>
    <row r="12" spans="1:14">
      <c r="A12" s="369" t="s">
        <v>957</v>
      </c>
      <c r="B12" s="369" t="s">
        <v>958</v>
      </c>
      <c r="C12" s="370">
        <v>2.1266666666666669</v>
      </c>
      <c r="D12" s="339" t="s">
        <v>1180</v>
      </c>
      <c r="F12" s="369" t="s">
        <v>1111</v>
      </c>
      <c r="G12" s="369" t="s">
        <v>1112</v>
      </c>
      <c r="H12" s="371">
        <v>767496500</v>
      </c>
      <c r="I12" s="339" t="s">
        <v>1180</v>
      </c>
      <c r="K12" s="369" t="s">
        <v>1111</v>
      </c>
      <c r="L12" s="369" t="s">
        <v>1112</v>
      </c>
      <c r="M12" s="370">
        <v>432390800</v>
      </c>
      <c r="N12" s="339" t="s">
        <v>1180</v>
      </c>
    </row>
    <row r="13" spans="1:14">
      <c r="A13" s="369" t="s">
        <v>1109</v>
      </c>
      <c r="B13" s="369" t="s">
        <v>1110</v>
      </c>
      <c r="C13" s="370">
        <v>2.1066666666666669</v>
      </c>
      <c r="D13" s="339" t="s">
        <v>1180</v>
      </c>
      <c r="F13" s="369" t="s">
        <v>1147</v>
      </c>
      <c r="G13" s="369" t="s">
        <v>1148</v>
      </c>
      <c r="H13" s="371">
        <v>677279600</v>
      </c>
      <c r="I13" s="339" t="s">
        <v>1180</v>
      </c>
      <c r="K13" s="369" t="s">
        <v>1147</v>
      </c>
      <c r="L13" s="369" t="s">
        <v>1148</v>
      </c>
      <c r="M13" s="370">
        <v>371292500</v>
      </c>
      <c r="N13" s="339" t="s">
        <v>1180</v>
      </c>
    </row>
    <row r="14" spans="1:14">
      <c r="A14" s="369" t="s">
        <v>1125</v>
      </c>
      <c r="B14" s="369" t="s">
        <v>1126</v>
      </c>
      <c r="C14" s="370">
        <v>2.1066666666666669</v>
      </c>
      <c r="D14" s="339" t="s">
        <v>1180</v>
      </c>
      <c r="F14" s="369" t="s">
        <v>1165</v>
      </c>
      <c r="G14" s="369" t="s">
        <v>1166</v>
      </c>
      <c r="H14" s="371">
        <v>558711600</v>
      </c>
      <c r="I14" s="339" t="s">
        <v>1180</v>
      </c>
      <c r="K14" s="369" t="s">
        <v>1165</v>
      </c>
      <c r="L14" s="369" t="s">
        <v>1166</v>
      </c>
      <c r="M14" s="370">
        <v>332011000</v>
      </c>
      <c r="N14" s="339" t="s">
        <v>1180</v>
      </c>
    </row>
    <row r="15" spans="1:14">
      <c r="A15" s="369" t="s">
        <v>1139</v>
      </c>
      <c r="B15" s="369" t="s">
        <v>1140</v>
      </c>
      <c r="C15" s="370">
        <v>2.0933333333333333</v>
      </c>
      <c r="D15" s="339" t="s">
        <v>1180</v>
      </c>
      <c r="F15" s="369" t="s">
        <v>1109</v>
      </c>
      <c r="G15" s="369" t="s">
        <v>1110</v>
      </c>
      <c r="H15" s="371">
        <v>410488900</v>
      </c>
      <c r="I15" s="339" t="s">
        <v>1180</v>
      </c>
      <c r="K15" s="369" t="s">
        <v>1109</v>
      </c>
      <c r="L15" s="369" t="s">
        <v>1110</v>
      </c>
      <c r="M15" s="370">
        <v>226051600</v>
      </c>
      <c r="N15" s="339" t="s">
        <v>1180</v>
      </c>
    </row>
    <row r="16" spans="1:14">
      <c r="A16" s="369"/>
      <c r="B16" s="369"/>
      <c r="C16" s="370"/>
      <c r="D16" s="339" t="s">
        <v>1181</v>
      </c>
      <c r="F16" s="369" t="s">
        <v>1127</v>
      </c>
      <c r="G16" s="369" t="s">
        <v>1128</v>
      </c>
      <c r="H16" s="371">
        <v>374867900</v>
      </c>
      <c r="I16" s="339" t="s">
        <v>1181</v>
      </c>
      <c r="K16" s="369" t="s">
        <v>1127</v>
      </c>
      <c r="L16" s="369" t="s">
        <v>1128</v>
      </c>
      <c r="M16" s="370">
        <v>196479100</v>
      </c>
      <c r="N16" s="339" t="s">
        <v>1181</v>
      </c>
    </row>
    <row r="17" spans="1:14">
      <c r="A17" s="369" t="s">
        <v>1169</v>
      </c>
      <c r="B17" s="369" t="s">
        <v>1170</v>
      </c>
      <c r="C17" s="370">
        <v>2.0366666666666666</v>
      </c>
      <c r="D17" s="339" t="s">
        <v>1181</v>
      </c>
      <c r="F17" s="369" t="s">
        <v>1115</v>
      </c>
      <c r="G17" s="369" t="s">
        <v>1116</v>
      </c>
      <c r="H17" s="371">
        <v>333634582.39999998</v>
      </c>
      <c r="I17" s="339" t="s">
        <v>1181</v>
      </c>
      <c r="K17" s="369" t="s">
        <v>1115</v>
      </c>
      <c r="L17" s="369" t="s">
        <v>1116</v>
      </c>
      <c r="M17" s="370">
        <v>173707951.59999999</v>
      </c>
      <c r="N17" s="339" t="s">
        <v>1181</v>
      </c>
    </row>
    <row r="18" spans="1:14">
      <c r="A18" s="369" t="s">
        <v>1175</v>
      </c>
      <c r="B18" s="369" t="s">
        <v>1176</v>
      </c>
      <c r="C18" s="370">
        <v>2.0033333333333334</v>
      </c>
      <c r="D18" s="339" t="s">
        <v>1181</v>
      </c>
      <c r="F18" s="369" t="s">
        <v>1153</v>
      </c>
      <c r="G18" s="369" t="s">
        <v>1154</v>
      </c>
      <c r="H18" s="371">
        <v>314387900</v>
      </c>
      <c r="I18" s="339" t="s">
        <v>1181</v>
      </c>
      <c r="K18" s="369" t="s">
        <v>1153</v>
      </c>
      <c r="L18" s="369" t="s">
        <v>1154</v>
      </c>
      <c r="M18" s="370">
        <v>167327200</v>
      </c>
      <c r="N18" s="339" t="s">
        <v>1181</v>
      </c>
    </row>
    <row r="19" spans="1:14">
      <c r="A19" s="369" t="s">
        <v>1151</v>
      </c>
      <c r="B19" s="369" t="s">
        <v>1152</v>
      </c>
      <c r="C19" s="370">
        <v>1.9966666666666668</v>
      </c>
      <c r="D19" s="339" t="s">
        <v>1181</v>
      </c>
      <c r="F19" s="369" t="s">
        <v>1131</v>
      </c>
      <c r="G19" s="369" t="s">
        <v>1132</v>
      </c>
      <c r="H19" s="371">
        <v>305911438.30000001</v>
      </c>
      <c r="I19" s="339" t="s">
        <v>1181</v>
      </c>
      <c r="K19" s="369" t="s">
        <v>1131</v>
      </c>
      <c r="L19" s="369" t="s">
        <v>1132</v>
      </c>
      <c r="M19" s="370">
        <v>132638963.59999999</v>
      </c>
      <c r="N19" s="339" t="s">
        <v>1181</v>
      </c>
    </row>
    <row r="20" spans="1:14">
      <c r="A20" s="369" t="s">
        <v>1147</v>
      </c>
      <c r="B20" s="369" t="s">
        <v>1148</v>
      </c>
      <c r="C20" s="370">
        <v>1.97</v>
      </c>
      <c r="D20" s="339" t="s">
        <v>1181</v>
      </c>
      <c r="F20" s="369" t="s">
        <v>1169</v>
      </c>
      <c r="G20" s="369" t="s">
        <v>1170</v>
      </c>
      <c r="H20" s="371">
        <v>271166200</v>
      </c>
      <c r="I20" s="339" t="s">
        <v>1181</v>
      </c>
      <c r="K20" s="369" t="s">
        <v>1169</v>
      </c>
      <c r="L20" s="369" t="s">
        <v>1170</v>
      </c>
      <c r="M20" s="370">
        <v>121375300</v>
      </c>
      <c r="N20" s="339" t="s">
        <v>1181</v>
      </c>
    </row>
    <row r="21" spans="1:14">
      <c r="A21" s="369" t="s">
        <v>955</v>
      </c>
      <c r="B21" s="369" t="s">
        <v>956</v>
      </c>
      <c r="C21" s="370">
        <v>1.9676</v>
      </c>
      <c r="D21" s="339" t="s">
        <v>1181</v>
      </c>
      <c r="F21" s="369" t="s">
        <v>1121</v>
      </c>
      <c r="G21" s="369" t="s">
        <v>1122</v>
      </c>
      <c r="H21" s="371">
        <v>224067896.90000001</v>
      </c>
      <c r="I21" s="339" t="s">
        <v>1181</v>
      </c>
      <c r="K21" s="369" t="s">
        <v>1121</v>
      </c>
      <c r="L21" s="369" t="s">
        <v>1122</v>
      </c>
      <c r="M21" s="370">
        <v>105366476.5</v>
      </c>
      <c r="N21" s="339" t="s">
        <v>1181</v>
      </c>
    </row>
    <row r="22" spans="1:14">
      <c r="A22" s="369" t="s">
        <v>1123</v>
      </c>
      <c r="B22" s="369" t="s">
        <v>1124</v>
      </c>
      <c r="C22" s="370">
        <v>1.9566666666666663</v>
      </c>
      <c r="D22" s="339" t="s">
        <v>1181</v>
      </c>
      <c r="F22" s="369" t="s">
        <v>1117</v>
      </c>
      <c r="G22" s="369" t="s">
        <v>1118</v>
      </c>
      <c r="H22" s="371">
        <v>184133080.19999999</v>
      </c>
      <c r="I22" s="339" t="s">
        <v>1181</v>
      </c>
      <c r="K22" s="369" t="s">
        <v>1117</v>
      </c>
      <c r="L22" s="369" t="s">
        <v>1118</v>
      </c>
      <c r="M22" s="370">
        <v>77394229.200000003</v>
      </c>
      <c r="N22" s="339" t="s">
        <v>1181</v>
      </c>
    </row>
    <row r="23" spans="1:14">
      <c r="A23" s="369" t="s">
        <v>1155</v>
      </c>
      <c r="B23" s="369" t="s">
        <v>1156</v>
      </c>
      <c r="C23" s="370">
        <v>1.9500000000000002</v>
      </c>
      <c r="D23" s="339" t="s">
        <v>1181</v>
      </c>
      <c r="F23" s="369" t="s">
        <v>1123</v>
      </c>
      <c r="G23" s="369" t="s">
        <v>1124</v>
      </c>
      <c r="H23" s="371">
        <v>144108194.30000001</v>
      </c>
      <c r="I23" s="339" t="s">
        <v>1181</v>
      </c>
      <c r="K23" s="369" t="s">
        <v>1149</v>
      </c>
      <c r="L23" s="369" t="s">
        <v>1150</v>
      </c>
      <c r="M23" s="370">
        <v>67435999</v>
      </c>
      <c r="N23" s="339" t="s">
        <v>1181</v>
      </c>
    </row>
    <row r="24" spans="1:14">
      <c r="A24" s="369" t="s">
        <v>1163</v>
      </c>
      <c r="B24" s="369" t="s">
        <v>1164</v>
      </c>
      <c r="C24" s="370">
        <v>1.9333333333333333</v>
      </c>
      <c r="D24" s="339" t="s">
        <v>1181</v>
      </c>
      <c r="F24" s="369" t="s">
        <v>1149</v>
      </c>
      <c r="G24" s="369" t="s">
        <v>1150</v>
      </c>
      <c r="H24" s="371">
        <v>136842371</v>
      </c>
      <c r="I24" s="339" t="s">
        <v>1181</v>
      </c>
      <c r="K24" s="369" t="s">
        <v>1123</v>
      </c>
      <c r="L24" s="369" t="s">
        <v>1124</v>
      </c>
      <c r="M24" s="370">
        <v>64727675</v>
      </c>
      <c r="N24" s="339" t="s">
        <v>1181</v>
      </c>
    </row>
    <row r="25" spans="1:14">
      <c r="A25" s="369" t="s">
        <v>1145</v>
      </c>
      <c r="B25" s="369" t="s">
        <v>1146</v>
      </c>
      <c r="C25" s="370">
        <v>1.93</v>
      </c>
      <c r="D25" s="339" t="s">
        <v>1181</v>
      </c>
      <c r="F25" s="369" t="s">
        <v>1151</v>
      </c>
      <c r="G25" s="369" t="s">
        <v>1152</v>
      </c>
      <c r="H25" s="371">
        <v>106303909</v>
      </c>
      <c r="I25" s="339" t="s">
        <v>1181</v>
      </c>
      <c r="K25" s="369" t="s">
        <v>1151</v>
      </c>
      <c r="L25" s="369" t="s">
        <v>1152</v>
      </c>
      <c r="M25" s="370">
        <v>56949164.700000003</v>
      </c>
      <c r="N25" s="339" t="s">
        <v>1181</v>
      </c>
    </row>
    <row r="26" spans="1:14">
      <c r="A26" s="369" t="s">
        <v>1137</v>
      </c>
      <c r="B26" s="369" t="s">
        <v>1138</v>
      </c>
      <c r="C26" s="370">
        <v>1.88</v>
      </c>
      <c r="D26" s="339" t="s">
        <v>1181</v>
      </c>
      <c r="F26" s="369" t="s">
        <v>1141</v>
      </c>
      <c r="G26" s="369" t="s">
        <v>1142</v>
      </c>
      <c r="H26" s="371">
        <v>101760309.3</v>
      </c>
      <c r="I26" s="339" t="s">
        <v>1181</v>
      </c>
      <c r="K26" s="369" t="s">
        <v>1141</v>
      </c>
      <c r="L26" s="369" t="s">
        <v>1142</v>
      </c>
      <c r="M26" s="370">
        <v>47329627.899999999</v>
      </c>
      <c r="N26" s="339" t="s">
        <v>1181</v>
      </c>
    </row>
    <row r="27" spans="1:14">
      <c r="A27" s="369" t="s">
        <v>1133</v>
      </c>
      <c r="B27" s="369" t="s">
        <v>1134</v>
      </c>
      <c r="C27" s="370">
        <v>1.8733333333333331</v>
      </c>
      <c r="D27" s="339" t="s">
        <v>1181</v>
      </c>
      <c r="F27" s="369" t="s">
        <v>1157</v>
      </c>
      <c r="G27" s="369" t="s">
        <v>1158</v>
      </c>
      <c r="H27" s="371">
        <v>75988387</v>
      </c>
      <c r="I27" s="339" t="s">
        <v>1181</v>
      </c>
      <c r="K27" s="369" t="s">
        <v>1157</v>
      </c>
      <c r="L27" s="369" t="s">
        <v>1158</v>
      </c>
      <c r="M27" s="370">
        <v>38079554</v>
      </c>
      <c r="N27" s="339" t="s">
        <v>1181</v>
      </c>
    </row>
    <row r="28" spans="1:14">
      <c r="A28" s="369" t="s">
        <v>1177</v>
      </c>
      <c r="B28" s="369" t="s">
        <v>1178</v>
      </c>
      <c r="C28" s="370">
        <v>1.83</v>
      </c>
      <c r="D28" s="339" t="s">
        <v>1181</v>
      </c>
      <c r="F28" s="369" t="s">
        <v>1161</v>
      </c>
      <c r="G28" s="369" t="s">
        <v>1162</v>
      </c>
      <c r="H28" s="371">
        <v>67065037.700000003</v>
      </c>
      <c r="I28" s="339" t="s">
        <v>1181</v>
      </c>
      <c r="K28" s="320" t="s">
        <v>1171</v>
      </c>
      <c r="L28" s="320" t="s">
        <v>1172</v>
      </c>
      <c r="M28" s="370">
        <v>35032529.700000003</v>
      </c>
      <c r="N28" s="339" t="s">
        <v>1181</v>
      </c>
    </row>
    <row r="29" spans="1:14">
      <c r="A29" s="320" t="s">
        <v>949</v>
      </c>
      <c r="B29" s="320" t="s">
        <v>950</v>
      </c>
      <c r="C29" s="319">
        <v>1.7999999999999998</v>
      </c>
      <c r="D29" s="339" t="s">
        <v>1181</v>
      </c>
      <c r="F29" s="320" t="s">
        <v>1171</v>
      </c>
      <c r="G29" s="320" t="s">
        <v>1172</v>
      </c>
      <c r="H29" s="371">
        <v>63070942.899999999</v>
      </c>
      <c r="I29" s="339" t="s">
        <v>1181</v>
      </c>
      <c r="K29" s="369" t="s">
        <v>1161</v>
      </c>
      <c r="L29" s="369" t="s">
        <v>1162</v>
      </c>
      <c r="M29" s="370">
        <v>30706212.899999999</v>
      </c>
      <c r="N29" s="339" t="s">
        <v>1181</v>
      </c>
    </row>
    <row r="30" spans="1:14">
      <c r="A30" s="369" t="s">
        <v>1173</v>
      </c>
      <c r="B30" s="369" t="s">
        <v>1174</v>
      </c>
      <c r="C30" s="370">
        <v>1.7933333333333332</v>
      </c>
      <c r="D30" s="339" t="s">
        <v>1182</v>
      </c>
      <c r="F30" s="369" t="s">
        <v>1173</v>
      </c>
      <c r="G30" s="369" t="s">
        <v>1174</v>
      </c>
      <c r="H30" s="371">
        <v>60798537.200000003</v>
      </c>
      <c r="I30" s="339" t="s">
        <v>1182</v>
      </c>
      <c r="K30" s="369" t="s">
        <v>1173</v>
      </c>
      <c r="L30" s="369" t="s">
        <v>1174</v>
      </c>
      <c r="M30" s="315">
        <v>29299292.600000001</v>
      </c>
      <c r="N30" s="339" t="s">
        <v>1182</v>
      </c>
    </row>
    <row r="31" spans="1:14">
      <c r="A31" s="369" t="s">
        <v>1149</v>
      </c>
      <c r="B31" s="369" t="s">
        <v>1150</v>
      </c>
      <c r="C31" s="370">
        <v>1.7805333333333335</v>
      </c>
      <c r="D31" s="339" t="s">
        <v>1182</v>
      </c>
      <c r="F31" s="369" t="s">
        <v>1177</v>
      </c>
      <c r="G31" s="369" t="s">
        <v>1178</v>
      </c>
      <c r="H31" s="371">
        <v>58351002.872500002</v>
      </c>
      <c r="I31" s="339" t="s">
        <v>1182</v>
      </c>
      <c r="K31" s="369" t="s">
        <v>1145</v>
      </c>
      <c r="L31" s="369" t="s">
        <v>1146</v>
      </c>
      <c r="M31" s="370">
        <v>28284645</v>
      </c>
      <c r="N31" s="339" t="s">
        <v>1182</v>
      </c>
    </row>
    <row r="32" spans="1:14">
      <c r="A32" s="369" t="s">
        <v>1121</v>
      </c>
      <c r="B32" s="369" t="s">
        <v>1122</v>
      </c>
      <c r="C32" s="370">
        <v>1.7760666666666669</v>
      </c>
      <c r="D32" s="339" t="s">
        <v>1182</v>
      </c>
      <c r="F32" s="369" t="s">
        <v>1145</v>
      </c>
      <c r="G32" s="369" t="s">
        <v>1146</v>
      </c>
      <c r="H32" s="371">
        <v>56849065.200000003</v>
      </c>
      <c r="I32" s="339" t="s">
        <v>1182</v>
      </c>
      <c r="K32" s="369" t="s">
        <v>1177</v>
      </c>
      <c r="L32" s="369" t="s">
        <v>1178</v>
      </c>
      <c r="M32" s="370">
        <v>27717934.002300002</v>
      </c>
      <c r="N32" s="339" t="s">
        <v>1182</v>
      </c>
    </row>
    <row r="33" spans="1:14">
      <c r="A33" s="369" t="s">
        <v>1157</v>
      </c>
      <c r="B33" s="369" t="s">
        <v>1158</v>
      </c>
      <c r="C33" s="370">
        <v>1.7733333333333334</v>
      </c>
      <c r="D33" s="339" t="s">
        <v>1182</v>
      </c>
      <c r="F33" s="369" t="s">
        <v>1175</v>
      </c>
      <c r="G33" s="369" t="s">
        <v>1176</v>
      </c>
      <c r="H33" s="371">
        <v>46764477.5</v>
      </c>
      <c r="I33" s="339" t="s">
        <v>1182</v>
      </c>
      <c r="K33" s="369" t="s">
        <v>1175</v>
      </c>
      <c r="L33" s="369" t="s">
        <v>1176</v>
      </c>
      <c r="M33" s="370">
        <v>24284405.300000001</v>
      </c>
      <c r="N33" s="339" t="s">
        <v>1182</v>
      </c>
    </row>
    <row r="34" spans="1:14">
      <c r="A34" s="369" t="s">
        <v>953</v>
      </c>
      <c r="B34" s="369" t="s">
        <v>954</v>
      </c>
      <c r="C34" s="370">
        <v>1.74</v>
      </c>
      <c r="D34" s="339" t="s">
        <v>1182</v>
      </c>
      <c r="F34" s="369" t="s">
        <v>1167</v>
      </c>
      <c r="G34" s="369" t="s">
        <v>1168</v>
      </c>
      <c r="H34" s="371">
        <v>45879798.5999</v>
      </c>
      <c r="I34" s="339" t="s">
        <v>1182</v>
      </c>
      <c r="K34" s="369" t="s">
        <v>1167</v>
      </c>
      <c r="L34" s="369" t="s">
        <v>1168</v>
      </c>
      <c r="M34" s="370">
        <v>23789004.2973</v>
      </c>
      <c r="N34" s="339" t="s">
        <v>1182</v>
      </c>
    </row>
    <row r="35" spans="1:14">
      <c r="A35" s="369" t="s">
        <v>1127</v>
      </c>
      <c r="B35" s="369" t="s">
        <v>1128</v>
      </c>
      <c r="C35" s="370">
        <v>1.71</v>
      </c>
      <c r="D35" s="339" t="s">
        <v>1182</v>
      </c>
      <c r="F35" s="369" t="s">
        <v>1119</v>
      </c>
      <c r="G35" s="369" t="s">
        <v>1120</v>
      </c>
      <c r="H35" s="371">
        <v>42631902</v>
      </c>
      <c r="I35" s="339" t="s">
        <v>1182</v>
      </c>
      <c r="K35" s="369" t="s">
        <v>951</v>
      </c>
      <c r="L35" s="369" t="s">
        <v>952</v>
      </c>
      <c r="M35" s="370">
        <v>21422653</v>
      </c>
      <c r="N35" s="339" t="s">
        <v>1182</v>
      </c>
    </row>
    <row r="36" spans="1:14">
      <c r="A36" s="369" t="s">
        <v>1159</v>
      </c>
      <c r="B36" s="369" t="s">
        <v>1160</v>
      </c>
      <c r="C36" s="370">
        <v>1.7</v>
      </c>
      <c r="D36" s="339" t="s">
        <v>1182</v>
      </c>
      <c r="F36" s="369" t="s">
        <v>1129</v>
      </c>
      <c r="G36" s="369" t="s">
        <v>1130</v>
      </c>
      <c r="H36" s="371">
        <v>37864828.700000003</v>
      </c>
      <c r="I36" s="339" t="s">
        <v>1182</v>
      </c>
      <c r="K36" s="369" t="s">
        <v>1129</v>
      </c>
      <c r="L36" s="369" t="s">
        <v>1130</v>
      </c>
      <c r="M36" s="370">
        <v>19691912.699999999</v>
      </c>
      <c r="N36" s="339" t="s">
        <v>1182</v>
      </c>
    </row>
    <row r="37" spans="1:14">
      <c r="A37" s="369" t="s">
        <v>1107</v>
      </c>
      <c r="B37" s="369" t="s">
        <v>1108</v>
      </c>
      <c r="C37" s="370">
        <v>1.6778999999999999</v>
      </c>
      <c r="D37" s="339" t="s">
        <v>1182</v>
      </c>
      <c r="F37" s="369" t="s">
        <v>951</v>
      </c>
      <c r="G37" s="369" t="s">
        <v>952</v>
      </c>
      <c r="H37" s="371">
        <v>33445643</v>
      </c>
      <c r="I37" s="339" t="s">
        <v>1182</v>
      </c>
      <c r="K37" s="369" t="s">
        <v>1119</v>
      </c>
      <c r="L37" s="369" t="s">
        <v>1120</v>
      </c>
      <c r="M37" s="370">
        <v>19183001.399999999</v>
      </c>
      <c r="N37" s="339" t="s">
        <v>1182</v>
      </c>
    </row>
    <row r="38" spans="1:14">
      <c r="A38" s="320" t="s">
        <v>1117</v>
      </c>
      <c r="B38" s="320" t="s">
        <v>1118</v>
      </c>
      <c r="C38" s="319">
        <v>1.6733333333333331</v>
      </c>
      <c r="D38" s="339" t="s">
        <v>1182</v>
      </c>
      <c r="F38" s="369" t="s">
        <v>953</v>
      </c>
      <c r="G38" s="369" t="s">
        <v>954</v>
      </c>
      <c r="H38" s="371">
        <v>24618639.5</v>
      </c>
      <c r="I38" s="339" t="s">
        <v>1182</v>
      </c>
      <c r="K38" s="369" t="s">
        <v>953</v>
      </c>
      <c r="L38" s="369" t="s">
        <v>954</v>
      </c>
      <c r="M38" s="370">
        <v>17009879.399999999</v>
      </c>
      <c r="N38" s="339" t="s">
        <v>1182</v>
      </c>
    </row>
    <row r="39" spans="1:14">
      <c r="A39" s="369" t="s">
        <v>1111</v>
      </c>
      <c r="B39" s="369" t="s">
        <v>1112</v>
      </c>
      <c r="C39" s="370">
        <v>1.6566666666666665</v>
      </c>
      <c r="D39" s="339" t="s">
        <v>1182</v>
      </c>
      <c r="F39" s="369" t="s">
        <v>949</v>
      </c>
      <c r="G39" s="369" t="s">
        <v>950</v>
      </c>
      <c r="H39" s="371">
        <v>23495616.5</v>
      </c>
      <c r="I39" s="339" t="s">
        <v>1182</v>
      </c>
      <c r="K39" s="369" t="s">
        <v>949</v>
      </c>
      <c r="L39" s="369" t="s">
        <v>950</v>
      </c>
      <c r="M39" s="370">
        <v>13735569.300000001</v>
      </c>
      <c r="N39" s="339" t="s">
        <v>1182</v>
      </c>
    </row>
    <row r="40" spans="1:14">
      <c r="A40" s="369" t="s">
        <v>1119</v>
      </c>
      <c r="B40" s="369" t="s">
        <v>1120</v>
      </c>
      <c r="C40" s="370">
        <v>1.6276999999999999</v>
      </c>
      <c r="D40" s="339" t="s">
        <v>1182</v>
      </c>
      <c r="F40" s="369" t="s">
        <v>959</v>
      </c>
      <c r="G40" s="369" t="s">
        <v>960</v>
      </c>
      <c r="H40" s="371">
        <v>20304198.612799998</v>
      </c>
      <c r="I40" s="339" t="s">
        <v>1182</v>
      </c>
      <c r="K40" s="369" t="s">
        <v>959</v>
      </c>
      <c r="L40" s="369" t="s">
        <v>960</v>
      </c>
      <c r="M40" s="370">
        <v>12055762.925000001</v>
      </c>
      <c r="N40" s="339" t="s">
        <v>1182</v>
      </c>
    </row>
    <row r="41" spans="1:14">
      <c r="A41" s="369" t="s">
        <v>1167</v>
      </c>
      <c r="B41" s="369" t="s">
        <v>1168</v>
      </c>
      <c r="C41" s="370">
        <v>1.5999999999999999</v>
      </c>
      <c r="D41" s="339" t="s">
        <v>1182</v>
      </c>
      <c r="F41" s="369" t="s">
        <v>955</v>
      </c>
      <c r="G41" s="369" t="s">
        <v>956</v>
      </c>
      <c r="H41" s="371">
        <v>20111526.300000001</v>
      </c>
      <c r="I41" s="339" t="s">
        <v>1182</v>
      </c>
      <c r="K41" s="369" t="s">
        <v>955</v>
      </c>
      <c r="L41" s="369" t="s">
        <v>956</v>
      </c>
      <c r="M41" s="370">
        <v>11666180.6</v>
      </c>
      <c r="N41" s="339" t="s">
        <v>1182</v>
      </c>
    </row>
    <row r="42" spans="1:14">
      <c r="A42" s="369" t="s">
        <v>1131</v>
      </c>
      <c r="B42" s="369" t="s">
        <v>1132</v>
      </c>
      <c r="C42" s="370">
        <v>1.5126333333333335</v>
      </c>
      <c r="D42" s="339" t="s">
        <v>1182</v>
      </c>
      <c r="F42" s="369" t="s">
        <v>1139</v>
      </c>
      <c r="G42" s="369" t="s">
        <v>1140</v>
      </c>
      <c r="H42" s="371">
        <v>19688846.5</v>
      </c>
      <c r="I42" s="339" t="s">
        <v>1182</v>
      </c>
      <c r="K42" s="369" t="s">
        <v>957</v>
      </c>
      <c r="L42" s="369" t="s">
        <v>958</v>
      </c>
      <c r="M42" s="370">
        <v>11104527</v>
      </c>
      <c r="N42" s="339" t="s">
        <v>1182</v>
      </c>
    </row>
    <row r="43" spans="1:14">
      <c r="A43" s="369" t="s">
        <v>1129</v>
      </c>
      <c r="B43" s="369" t="s">
        <v>1130</v>
      </c>
      <c r="C43" s="370">
        <v>1.4504333333333335</v>
      </c>
      <c r="D43" s="339" t="s">
        <v>1182</v>
      </c>
      <c r="F43" s="369" t="s">
        <v>957</v>
      </c>
      <c r="G43" s="369" t="s">
        <v>958</v>
      </c>
      <c r="H43" s="371">
        <v>18602957.899999999</v>
      </c>
      <c r="I43" s="339" t="s">
        <v>1182</v>
      </c>
      <c r="K43" s="369" t="s">
        <v>1139</v>
      </c>
      <c r="L43" s="369" t="s">
        <v>1140</v>
      </c>
      <c r="M43" s="370">
        <v>11019926</v>
      </c>
      <c r="N43" s="339" t="s">
        <v>1182</v>
      </c>
    </row>
    <row r="44" spans="1:14">
      <c r="A44" s="369" t="s">
        <v>1135</v>
      </c>
      <c r="B44" s="369" t="s">
        <v>1136</v>
      </c>
      <c r="C44" s="370">
        <v>1.4400000000000002</v>
      </c>
      <c r="D44" s="339" t="s">
        <v>1183</v>
      </c>
      <c r="F44" s="369"/>
      <c r="G44" s="369" t="s">
        <v>961</v>
      </c>
      <c r="H44" s="371">
        <f>'2-交易案例比较法'!N16</f>
        <v>640.93896633609995</v>
      </c>
      <c r="I44" s="339" t="s">
        <v>1183</v>
      </c>
      <c r="K44" s="369"/>
      <c r="L44" s="369" t="s">
        <v>961</v>
      </c>
      <c r="M44" s="370">
        <f>'2-交易案例比较法'!O16</f>
        <v>407.09554732919997</v>
      </c>
      <c r="N44" s="339" t="s">
        <v>1183</v>
      </c>
    </row>
    <row r="47" spans="1:14">
      <c r="A47" s="369"/>
    </row>
  </sheetData>
  <autoFilter ref="A1:N43" xr:uid="{309019DA-BA4A-46A9-8BEC-B622B1312748}"/>
  <sortState ref="K2:M44">
    <sortCondition descending="1" ref="M2:M44"/>
  </sortState>
  <phoneticPr fontId="2"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1"/>
  <sheetViews>
    <sheetView zoomScaleNormal="100" workbookViewId="0">
      <selection activeCell="F20" sqref="F20"/>
    </sheetView>
  </sheetViews>
  <sheetFormatPr defaultRowHeight="14"/>
  <cols>
    <col min="1" max="2" width="21.36328125" style="630" customWidth="1"/>
    <col min="3" max="3" width="26.453125" style="630" customWidth="1"/>
    <col min="4" max="4" width="21.36328125" style="630" customWidth="1"/>
    <col min="5" max="5" width="25.453125" style="630" customWidth="1"/>
    <col min="6" max="6" width="19.26953125" style="630" bestFit="1" customWidth="1"/>
    <col min="7" max="7" width="16.36328125" style="630" customWidth="1"/>
    <col min="8" max="16384" width="8.7265625" style="630"/>
  </cols>
  <sheetData>
    <row r="1" spans="1:5" ht="14.5" thickBot="1"/>
    <row r="2" spans="1:5" ht="24.75" customHeight="1" thickTop="1">
      <c r="A2" s="631" t="s">
        <v>1095</v>
      </c>
      <c r="B2" s="632" t="s">
        <v>87</v>
      </c>
      <c r="C2" s="633" t="s">
        <v>1096</v>
      </c>
      <c r="D2" s="633" t="s">
        <v>1097</v>
      </c>
      <c r="E2" s="634" t="s">
        <v>88</v>
      </c>
    </row>
    <row r="3" spans="1:5" ht="24.75" customHeight="1">
      <c r="A3" s="635">
        <v>1</v>
      </c>
      <c r="B3" s="636" t="s">
        <v>1093</v>
      </c>
      <c r="C3" s="637"/>
      <c r="D3" s="638">
        <v>0.63383333333333336</v>
      </c>
      <c r="E3" s="639">
        <v>0.63383333333333336</v>
      </c>
    </row>
    <row r="4" spans="1:5" ht="24.75" customHeight="1">
      <c r="A4" s="640">
        <v>2</v>
      </c>
      <c r="B4" s="641"/>
      <c r="C4" s="637"/>
      <c r="D4" s="642"/>
      <c r="E4" s="643">
        <v>0</v>
      </c>
    </row>
    <row r="5" spans="1:5" ht="24.75" customHeight="1" thickBot="1">
      <c r="A5" s="644" t="s">
        <v>86</v>
      </c>
      <c r="B5" s="645"/>
      <c r="C5" s="646"/>
      <c r="D5" s="647"/>
      <c r="E5" s="648" t="s">
        <v>1098</v>
      </c>
    </row>
    <row r="6" spans="1:5" ht="14.5" hidden="1" thickTop="1">
      <c r="A6" s="649" t="s">
        <v>1099</v>
      </c>
      <c r="B6" s="649"/>
      <c r="C6" s="415" t="e">
        <v>#REF!</v>
      </c>
      <c r="D6" s="619" t="s">
        <v>1100</v>
      </c>
    </row>
    <row r="7" spans="1:5" hidden="1">
      <c r="A7" s="649" t="s">
        <v>1101</v>
      </c>
      <c r="B7" s="649"/>
      <c r="C7" s="415">
        <v>0</v>
      </c>
      <c r="D7" s="619" t="s">
        <v>72</v>
      </c>
    </row>
    <row r="8" spans="1:5" hidden="1">
      <c r="A8" s="649" t="s">
        <v>1102</v>
      </c>
      <c r="B8" s="649"/>
      <c r="C8" s="415" t="e">
        <v>#REF!</v>
      </c>
      <c r="D8" s="619" t="s">
        <v>72</v>
      </c>
    </row>
    <row r="9" spans="1:5" hidden="1">
      <c r="A9" s="649" t="s">
        <v>1103</v>
      </c>
      <c r="B9" s="649"/>
      <c r="C9" s="415" t="e">
        <v>#REF!</v>
      </c>
      <c r="D9" s="619" t="s">
        <v>72</v>
      </c>
    </row>
    <row r="10" spans="1:5" hidden="1">
      <c r="A10" s="649" t="s">
        <v>285</v>
      </c>
      <c r="B10" s="649"/>
      <c r="C10" s="650" t="e">
        <v>#REF!</v>
      </c>
      <c r="D10" s="429"/>
    </row>
    <row r="11" spans="1:5" hidden="1">
      <c r="A11" s="649" t="s">
        <v>55</v>
      </c>
      <c r="B11" s="649"/>
      <c r="C11" s="415" t="e">
        <v>#REF!</v>
      </c>
      <c r="D11" s="429"/>
    </row>
    <row r="12" spans="1:5" hidden="1">
      <c r="D12" s="651" t="e">
        <v>#REF!</v>
      </c>
    </row>
    <row r="13" spans="1:5" hidden="1"/>
    <row r="14" spans="1:5" hidden="1"/>
    <row r="15" spans="1:5" hidden="1">
      <c r="C15" s="415" t="e">
        <v>#REF!</v>
      </c>
    </row>
    <row r="16" spans="1:5" ht="14.5" thickTop="1"/>
    <row r="17" spans="1:7">
      <c r="A17" s="652" t="s">
        <v>1018</v>
      </c>
      <c r="B17" s="653">
        <v>577531.10221399995</v>
      </c>
      <c r="C17" s="653"/>
      <c r="D17" s="654" t="s">
        <v>72</v>
      </c>
      <c r="E17" s="655"/>
      <c r="F17" s="655"/>
      <c r="G17" s="553"/>
    </row>
    <row r="18" spans="1:7">
      <c r="A18" s="652" t="s">
        <v>89</v>
      </c>
      <c r="B18" s="653">
        <v>366058</v>
      </c>
      <c r="C18" s="656"/>
      <c r="D18" s="654" t="s">
        <v>72</v>
      </c>
      <c r="F18" s="553"/>
    </row>
    <row r="19" spans="1:7">
      <c r="A19" s="652" t="s">
        <v>803</v>
      </c>
      <c r="B19" s="594">
        <v>1</v>
      </c>
      <c r="C19" s="656"/>
      <c r="D19" s="654"/>
      <c r="F19" s="553"/>
    </row>
    <row r="20" spans="1:7">
      <c r="A20" s="652" t="s">
        <v>804</v>
      </c>
      <c r="B20" s="653">
        <v>366058</v>
      </c>
      <c r="C20" s="656"/>
      <c r="D20" s="654"/>
      <c r="F20" s="553"/>
    </row>
    <row r="21" spans="1:7">
      <c r="A21" s="652" t="s">
        <v>1094</v>
      </c>
      <c r="B21" s="653">
        <v>4.6183458957986288</v>
      </c>
      <c r="C21" s="656"/>
      <c r="D21" s="654"/>
      <c r="F21" s="553"/>
    </row>
  </sheetData>
  <mergeCells count="1">
    <mergeCell ref="C5:D5"/>
  </mergeCells>
  <phoneticPr fontId="2" type="noConversion"/>
  <printOptions horizontalCentered="1"/>
  <pageMargins left="0.70866141732283472" right="0.70866141732283472" top="0.74803149606299213" bottom="0.74803149606299213"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S43"/>
  <sheetViews>
    <sheetView zoomScale="98" zoomScaleNormal="98" workbookViewId="0">
      <selection activeCell="J18" sqref="J18"/>
    </sheetView>
  </sheetViews>
  <sheetFormatPr defaultColWidth="9" defaultRowHeight="14"/>
  <cols>
    <col min="1" max="1" width="5.7265625" style="9" customWidth="1"/>
    <col min="2" max="2" width="9" style="9"/>
    <col min="3" max="3" width="11.08984375" style="9" customWidth="1"/>
    <col min="4" max="4" width="22.7265625" style="9" customWidth="1"/>
    <col min="5" max="5" width="13.7265625" style="9" bestFit="1" customWidth="1"/>
    <col min="6" max="6" width="16.7265625" style="9" bestFit="1" customWidth="1"/>
    <col min="7" max="7" width="13.26953125" style="9" customWidth="1"/>
    <col min="8" max="8" width="14.6328125" style="9" bestFit="1" customWidth="1"/>
    <col min="9" max="10" width="11" style="9" customWidth="1"/>
    <col min="11" max="11" width="12.36328125" customWidth="1"/>
    <col min="12" max="14" width="9" style="31"/>
    <col min="15" max="15" width="13.6328125" style="31" bestFit="1" customWidth="1"/>
    <col min="16" max="17" width="10.7265625" style="31" customWidth="1"/>
    <col min="18" max="19" width="14.90625" style="31" bestFit="1" customWidth="1"/>
    <col min="20" max="16384" width="9" style="31"/>
  </cols>
  <sheetData>
    <row r="1" spans="1:19" ht="24" customHeight="1">
      <c r="A1" s="448" t="s">
        <v>84</v>
      </c>
      <c r="B1" s="449"/>
      <c r="C1" s="449"/>
      <c r="D1" s="449"/>
      <c r="E1" s="449"/>
      <c r="F1" s="449"/>
      <c r="G1" s="449"/>
      <c r="H1" s="449"/>
      <c r="I1" s="449"/>
      <c r="J1" s="132"/>
    </row>
    <row r="2" spans="1:19" ht="31.5" customHeight="1">
      <c r="A2" s="34" t="s">
        <v>56</v>
      </c>
      <c r="B2" s="34" t="s">
        <v>77</v>
      </c>
      <c r="C2" s="34" t="s">
        <v>78</v>
      </c>
      <c r="D2" s="34" t="s">
        <v>79</v>
      </c>
      <c r="E2" s="34" t="s">
        <v>80</v>
      </c>
      <c r="F2" s="34" t="s">
        <v>85</v>
      </c>
      <c r="G2" s="34" t="s">
        <v>81</v>
      </c>
      <c r="H2" s="34" t="s">
        <v>82</v>
      </c>
      <c r="I2" s="34" t="s">
        <v>83</v>
      </c>
      <c r="J2" s="34" t="s">
        <v>328</v>
      </c>
      <c r="L2" s="35" t="s">
        <v>286</v>
      </c>
      <c r="O2" s="34" t="s">
        <v>393</v>
      </c>
      <c r="P2" s="34" t="s">
        <v>394</v>
      </c>
      <c r="Q2" s="34" t="s">
        <v>395</v>
      </c>
      <c r="R2" s="34" t="s">
        <v>398</v>
      </c>
      <c r="S2" s="34"/>
    </row>
    <row r="3" spans="1:19" s="219" customFormat="1" ht="17.25" customHeight="1">
      <c r="A3" s="212">
        <v>1</v>
      </c>
      <c r="B3" s="212"/>
      <c r="C3" s="212" t="s">
        <v>270</v>
      </c>
      <c r="D3" s="212" t="str">
        <f>交易案例比较法测算表!B2</f>
        <v>云南祥鹏</v>
      </c>
      <c r="E3" s="213">
        <f>交易案例比较法测算表!D2</f>
        <v>43374</v>
      </c>
      <c r="F3" s="213" t="s">
        <v>326</v>
      </c>
      <c r="G3" s="214">
        <f>交易案例比较法测算表!K2</f>
        <v>933380.03</v>
      </c>
      <c r="H3" s="215">
        <f>交易案例比较法测算表!G2</f>
        <v>858239.36</v>
      </c>
      <c r="I3" s="216">
        <f t="shared" ref="I3:I9" si="0">ROUND(G3/H3,4)</f>
        <v>1.0875999999999999</v>
      </c>
      <c r="J3" s="216">
        <f>交易案例比较法测算表!N101</f>
        <v>0.94724611924929203</v>
      </c>
      <c r="K3" s="217"/>
      <c r="L3" s="218">
        <f>G3/H3-1</f>
        <v>8.7552113666751419E-2</v>
      </c>
      <c r="N3" s="220"/>
      <c r="O3" s="221"/>
      <c r="P3" s="221"/>
      <c r="Q3" s="221"/>
      <c r="R3" s="221"/>
      <c r="S3" s="221"/>
    </row>
    <row r="4" spans="1:19" ht="17.25" customHeight="1">
      <c r="A4" s="44">
        <v>2</v>
      </c>
      <c r="B4" s="44"/>
      <c r="C4" s="35" t="s">
        <v>270</v>
      </c>
      <c r="D4" s="35" t="str">
        <f>交易案例比较法测算表!B3</f>
        <v>山西航空</v>
      </c>
      <c r="E4" s="43">
        <f>交易案例比较法测算表!D3</f>
        <v>43022</v>
      </c>
      <c r="F4" s="43" t="s">
        <v>326</v>
      </c>
      <c r="G4" s="41">
        <f>交易案例比较法测算表!K3</f>
        <v>248695.5</v>
      </c>
      <c r="H4" s="38">
        <f>交易案例比较法测算表!G3</f>
        <v>229998.75</v>
      </c>
      <c r="I4" s="216">
        <f t="shared" si="0"/>
        <v>1.0812999999999999</v>
      </c>
      <c r="J4" s="49">
        <f>交易案例比较法测算表!N102</f>
        <v>0</v>
      </c>
      <c r="L4" s="84">
        <f>G4/H4-1</f>
        <v>8.1290659188365089E-2</v>
      </c>
      <c r="N4" s="83"/>
      <c r="O4" s="36"/>
      <c r="P4" s="36"/>
      <c r="Q4" s="36"/>
      <c r="R4" s="36"/>
      <c r="S4" s="36"/>
    </row>
    <row r="5" spans="1:19" s="219" customFormat="1" ht="17.25" customHeight="1">
      <c r="A5" s="212">
        <v>3</v>
      </c>
      <c r="B5" s="212"/>
      <c r="C5" s="212" t="s">
        <v>330</v>
      </c>
      <c r="D5" s="212" t="str">
        <f>交易案例比较法测算表!B4</f>
        <v>长安航空</v>
      </c>
      <c r="E5" s="213">
        <f>交易案例比较法测算表!D4</f>
        <v>43251</v>
      </c>
      <c r="F5" s="213" t="s">
        <v>327</v>
      </c>
      <c r="G5" s="214">
        <f>交易案例比较法测算表!K4</f>
        <v>835554.12</v>
      </c>
      <c r="H5" s="215">
        <f>交易案例比较法测算表!G4</f>
        <v>694587.65430000005</v>
      </c>
      <c r="I5" s="216">
        <f t="shared" si="0"/>
        <v>1.2029000000000001</v>
      </c>
      <c r="J5" s="216">
        <f>交易案例比较法测算表!N103</f>
        <v>1.3067132190751292</v>
      </c>
      <c r="K5" s="217"/>
      <c r="L5" s="218">
        <f>G5/H5-1</f>
        <v>0.20294985784344943</v>
      </c>
      <c r="N5" s="220"/>
      <c r="O5" s="212" t="s">
        <v>396</v>
      </c>
      <c r="P5" s="212" t="s">
        <v>401</v>
      </c>
      <c r="Q5" s="212" t="s">
        <v>397</v>
      </c>
      <c r="R5" s="212" t="s">
        <v>399</v>
      </c>
      <c r="S5" s="212"/>
    </row>
    <row r="6" spans="1:19" ht="17.25" customHeight="1">
      <c r="A6" s="35">
        <v>4</v>
      </c>
      <c r="B6" s="35"/>
      <c r="C6" s="35" t="s">
        <v>270</v>
      </c>
      <c r="D6" s="35" t="str">
        <f>交易案例比较法测算表!B5</f>
        <v>新华航空</v>
      </c>
      <c r="E6" s="43">
        <f>交易案例比较法测算表!D5</f>
        <v>43447</v>
      </c>
      <c r="F6" s="43" t="s">
        <v>326</v>
      </c>
      <c r="G6" s="41">
        <f>交易案例比较法测算表!K5</f>
        <v>1285135.68</v>
      </c>
      <c r="H6" s="38">
        <f>交易案例比较法测算表!G5</f>
        <v>1227236.95</v>
      </c>
      <c r="I6" s="216">
        <f t="shared" si="0"/>
        <v>1.0471999999999999</v>
      </c>
      <c r="J6" s="49">
        <f>交易案例比较法测算表!N104</f>
        <v>0</v>
      </c>
      <c r="L6" s="84">
        <f>G6/H6-1</f>
        <v>4.7178118292477977E-2</v>
      </c>
      <c r="N6" s="83"/>
      <c r="O6" s="35" t="s">
        <v>396</v>
      </c>
      <c r="P6" s="35" t="s">
        <v>401</v>
      </c>
      <c r="Q6" s="35" t="s">
        <v>400</v>
      </c>
      <c r="R6" s="36"/>
      <c r="S6" s="36"/>
    </row>
    <row r="7" spans="1:19" s="219" customFormat="1" ht="17.25" customHeight="1">
      <c r="A7" s="212">
        <v>6</v>
      </c>
      <c r="B7" s="212"/>
      <c r="C7" s="212" t="s">
        <v>343</v>
      </c>
      <c r="D7" s="212" t="s">
        <v>344</v>
      </c>
      <c r="E7" s="213">
        <v>43355</v>
      </c>
      <c r="F7" s="213" t="s">
        <v>326</v>
      </c>
      <c r="G7" s="214">
        <f>50388.68/0.24</f>
        <v>209952.83333333334</v>
      </c>
      <c r="H7" s="215">
        <v>52654.720000000001</v>
      </c>
      <c r="I7" s="216">
        <f t="shared" si="0"/>
        <v>3.9874000000000001</v>
      </c>
      <c r="J7" s="216"/>
      <c r="K7" s="217"/>
      <c r="L7" s="218"/>
      <c r="N7" s="220"/>
      <c r="O7" s="221"/>
      <c r="P7" s="221"/>
      <c r="Q7" s="221"/>
      <c r="R7" s="221"/>
      <c r="S7" s="221"/>
    </row>
    <row r="8" spans="1:19" s="219" customFormat="1" ht="17.25" customHeight="1">
      <c r="A8" s="212"/>
      <c r="B8" s="212"/>
      <c r="C8" s="212" t="s">
        <v>270</v>
      </c>
      <c r="D8" s="212" t="s">
        <v>402</v>
      </c>
      <c r="E8" s="213">
        <v>43708</v>
      </c>
      <c r="F8" s="213" t="s">
        <v>326</v>
      </c>
      <c r="G8" s="214">
        <v>1395291.5</v>
      </c>
      <c r="H8" s="215">
        <v>1110246.3600000001</v>
      </c>
      <c r="I8" s="216">
        <f t="shared" si="0"/>
        <v>1.2566999999999999</v>
      </c>
      <c r="J8" s="216"/>
      <c r="K8" s="217"/>
      <c r="L8" s="218"/>
      <c r="N8" s="220"/>
      <c r="O8" s="212" t="s">
        <v>396</v>
      </c>
      <c r="P8" s="212" t="s">
        <v>401</v>
      </c>
      <c r="Q8" s="212" t="s">
        <v>400</v>
      </c>
      <c r="R8" s="221" t="s">
        <v>403</v>
      </c>
      <c r="S8" s="221" t="s">
        <v>404</v>
      </c>
    </row>
    <row r="9" spans="1:19" s="219" customFormat="1" ht="17.25" customHeight="1">
      <c r="A9" s="212" t="s">
        <v>392</v>
      </c>
      <c r="B9" s="212"/>
      <c r="C9" s="212" t="s">
        <v>405</v>
      </c>
      <c r="D9" s="212" t="s">
        <v>406</v>
      </c>
      <c r="E9" s="213">
        <v>43646</v>
      </c>
      <c r="F9" s="213" t="s">
        <v>326</v>
      </c>
      <c r="G9" s="214">
        <v>18000</v>
      </c>
      <c r="H9" s="215">
        <f>111601.15*11.9%</f>
        <v>13280.53685</v>
      </c>
      <c r="I9" s="216">
        <f t="shared" si="0"/>
        <v>1.3553999999999999</v>
      </c>
      <c r="J9" s="216"/>
      <c r="K9" s="217"/>
      <c r="L9" s="218"/>
      <c r="N9" s="220"/>
      <c r="O9" s="221"/>
      <c r="P9" s="221"/>
      <c r="Q9" s="221"/>
      <c r="R9" s="221"/>
      <c r="S9" s="221"/>
    </row>
    <row r="10" spans="1:19" ht="17.25" customHeight="1">
      <c r="A10" s="35" t="s">
        <v>392</v>
      </c>
      <c r="B10" s="35"/>
      <c r="C10" s="35"/>
      <c r="D10" s="35"/>
      <c r="E10" s="43"/>
      <c r="F10" s="43"/>
      <c r="G10" s="41"/>
      <c r="H10" s="38"/>
      <c r="I10" s="49"/>
      <c r="J10" s="49"/>
      <c r="L10" s="84"/>
      <c r="N10" s="83"/>
      <c r="O10" s="36"/>
      <c r="P10" s="36"/>
      <c r="Q10" s="36"/>
      <c r="R10" s="36"/>
      <c r="S10" s="36"/>
    </row>
    <row r="11" spans="1:19" ht="17.25" customHeight="1">
      <c r="A11" s="35"/>
      <c r="B11" s="35"/>
      <c r="C11" s="35"/>
      <c r="D11" s="35"/>
      <c r="E11" s="43"/>
      <c r="F11" s="43"/>
      <c r="G11" s="41"/>
      <c r="H11" s="38"/>
      <c r="I11" s="49"/>
      <c r="J11" s="49"/>
      <c r="L11" s="84"/>
      <c r="N11" s="83"/>
      <c r="O11" s="36"/>
      <c r="P11" s="36"/>
      <c r="Q11" s="36"/>
      <c r="R11" s="36"/>
      <c r="S11" s="36"/>
    </row>
    <row r="12" spans="1:19" s="83" customFormat="1" ht="17.25" customHeight="1">
      <c r="A12" s="35"/>
      <c r="B12" s="35"/>
      <c r="C12" s="35"/>
      <c r="D12" s="35" t="s">
        <v>86</v>
      </c>
      <c r="E12" s="43"/>
      <c r="F12" s="43"/>
      <c r="G12" s="80"/>
      <c r="H12" s="81"/>
      <c r="I12" s="49">
        <f>AVERAGE(I3:I11)</f>
        <v>1.5740714285714286</v>
      </c>
      <c r="J12" s="49">
        <f>AVERAGE(J3:J11)</f>
        <v>0.56348983458110524</v>
      </c>
      <c r="K12" s="82"/>
      <c r="L12" s="84"/>
      <c r="O12" s="35"/>
      <c r="P12" s="35"/>
      <c r="Q12" s="35"/>
      <c r="R12" s="35"/>
      <c r="S12" s="35"/>
    </row>
    <row r="13" spans="1:19">
      <c r="L13" s="85"/>
    </row>
    <row r="14" spans="1:19">
      <c r="H14" s="90"/>
      <c r="I14" s="90">
        <f>45*I12*1.15</f>
        <v>81.458196428571426</v>
      </c>
      <c r="J14" s="90">
        <f>50</f>
        <v>50</v>
      </c>
      <c r="K14" s="52">
        <f>I14-J14</f>
        <v>31.458196428571426</v>
      </c>
      <c r="L14" s="85"/>
    </row>
    <row r="15" spans="1:19">
      <c r="L15" s="85"/>
    </row>
    <row r="16" spans="1:19" ht="17.25" customHeight="1">
      <c r="A16" s="35">
        <v>2</v>
      </c>
      <c r="B16" s="39"/>
      <c r="C16" s="36" t="s">
        <v>270</v>
      </c>
      <c r="D16" s="36" t="s">
        <v>273</v>
      </c>
      <c r="E16" s="40">
        <v>42735</v>
      </c>
      <c r="F16" s="43" t="s">
        <v>276</v>
      </c>
      <c r="G16" s="38">
        <v>1442176.97</v>
      </c>
      <c r="H16" s="41">
        <v>1398032.02</v>
      </c>
      <c r="I16" s="49">
        <f>ROUND(G16/H16,4)</f>
        <v>1.0316000000000001</v>
      </c>
      <c r="J16" s="133"/>
      <c r="L16" s="84">
        <f>G16/H16-1</f>
        <v>3.1576494220783236E-2</v>
      </c>
    </row>
    <row r="17" spans="1:13" ht="17.25" customHeight="1">
      <c r="A17" s="35">
        <v>5</v>
      </c>
      <c r="B17" s="35"/>
      <c r="C17" s="36" t="s">
        <v>270</v>
      </c>
      <c r="D17" s="36" t="s">
        <v>277</v>
      </c>
      <c r="E17" s="37">
        <v>42916</v>
      </c>
      <c r="F17" s="43" t="s">
        <v>272</v>
      </c>
      <c r="G17" s="41">
        <v>1320488.06</v>
      </c>
      <c r="H17" s="38">
        <v>1238070.29</v>
      </c>
      <c r="I17" s="49">
        <f>ROUND(G17/H17,4)</f>
        <v>1.0666</v>
      </c>
      <c r="J17" s="133"/>
      <c r="L17" s="84">
        <f>G17/H17-1</f>
        <v>6.6569540247993553E-2</v>
      </c>
    </row>
    <row r="18" spans="1:13">
      <c r="H18" s="42"/>
    </row>
    <row r="22" spans="1:13">
      <c r="I22" s="90"/>
      <c r="J22" s="90"/>
    </row>
    <row r="29" spans="1:13" ht="17.5">
      <c r="A29" s="448" t="s">
        <v>84</v>
      </c>
      <c r="B29" s="449"/>
      <c r="C29" s="449"/>
      <c r="D29" s="449"/>
      <c r="E29" s="449"/>
      <c r="F29" s="449"/>
      <c r="G29" s="449"/>
      <c r="H29" s="449"/>
      <c r="I29" s="449"/>
      <c r="J29" s="132"/>
      <c r="K29" s="31"/>
    </row>
    <row r="30" spans="1:13" ht="39">
      <c r="A30" s="34" t="s">
        <v>56</v>
      </c>
      <c r="B30" s="34" t="s">
        <v>77</v>
      </c>
      <c r="C30" s="34" t="s">
        <v>78</v>
      </c>
      <c r="D30" s="34" t="s">
        <v>79</v>
      </c>
      <c r="E30" s="34" t="s">
        <v>80</v>
      </c>
      <c r="F30" s="34" t="s">
        <v>85</v>
      </c>
      <c r="G30" s="34" t="s">
        <v>81</v>
      </c>
      <c r="H30" s="34" t="s">
        <v>82</v>
      </c>
      <c r="I30" s="34" t="s">
        <v>285</v>
      </c>
      <c r="J30" s="34"/>
      <c r="K30" s="35" t="s">
        <v>294</v>
      </c>
      <c r="M30" s="36"/>
    </row>
    <row r="31" spans="1:13" ht="13">
      <c r="A31" s="35">
        <v>1</v>
      </c>
      <c r="B31" s="35"/>
      <c r="C31" s="91" t="s">
        <v>270</v>
      </c>
      <c r="D31" s="91" t="s">
        <v>271</v>
      </c>
      <c r="E31" s="92">
        <v>42978</v>
      </c>
      <c r="F31" s="43" t="s">
        <v>278</v>
      </c>
      <c r="G31" s="38">
        <v>932152.84</v>
      </c>
      <c r="H31" s="38">
        <v>861001.04</v>
      </c>
      <c r="I31" s="93">
        <f>G31/H31-1</f>
        <v>8.2638459995356017E-2</v>
      </c>
      <c r="J31" s="93"/>
      <c r="K31" s="35" t="s">
        <v>296</v>
      </c>
      <c r="M31" s="36" t="s">
        <v>295</v>
      </c>
    </row>
    <row r="32" spans="1:13" ht="13">
      <c r="A32" s="44">
        <v>2</v>
      </c>
      <c r="B32" s="44"/>
      <c r="C32" s="91" t="s">
        <v>270</v>
      </c>
      <c r="D32" s="94" t="s">
        <v>274</v>
      </c>
      <c r="E32" s="43">
        <v>42916</v>
      </c>
      <c r="F32" s="43" t="s">
        <v>278</v>
      </c>
      <c r="G32" s="38">
        <v>248695.5</v>
      </c>
      <c r="H32" s="38">
        <v>229998.75</v>
      </c>
      <c r="I32" s="93">
        <f t="shared" ref="I32:I34" si="1">G32/H32-1</f>
        <v>8.1290659188365089E-2</v>
      </c>
      <c r="J32" s="93"/>
      <c r="K32" s="35" t="s">
        <v>296</v>
      </c>
      <c r="M32" s="36" t="s">
        <v>295</v>
      </c>
    </row>
    <row r="33" spans="1:19" ht="13">
      <c r="A33" s="35">
        <v>3</v>
      </c>
      <c r="B33" s="35"/>
      <c r="C33" s="91" t="s">
        <v>270</v>
      </c>
      <c r="D33" s="91" t="s">
        <v>275</v>
      </c>
      <c r="E33" s="43">
        <v>42916</v>
      </c>
      <c r="F33" s="43" t="s">
        <v>278</v>
      </c>
      <c r="G33" s="38">
        <v>813949.97</v>
      </c>
      <c r="H33" s="38">
        <v>695157.22</v>
      </c>
      <c r="I33" s="93">
        <f t="shared" si="1"/>
        <v>0.17088616298914361</v>
      </c>
      <c r="J33" s="93"/>
      <c r="K33" s="35" t="s">
        <v>296</v>
      </c>
      <c r="M33" s="36" t="s">
        <v>295</v>
      </c>
    </row>
    <row r="34" spans="1:19" ht="13">
      <c r="A34" s="35">
        <v>4</v>
      </c>
      <c r="B34" s="35"/>
      <c r="C34" s="91" t="s">
        <v>270</v>
      </c>
      <c r="D34" s="91" t="s">
        <v>292</v>
      </c>
      <c r="E34" s="43">
        <v>43373</v>
      </c>
      <c r="F34" s="43" t="s">
        <v>278</v>
      </c>
      <c r="G34" s="38">
        <v>1285135.68</v>
      </c>
      <c r="H34" s="38">
        <v>1227236.95</v>
      </c>
      <c r="I34" s="93">
        <f t="shared" si="1"/>
        <v>4.7178118292477977E-2</v>
      </c>
      <c r="J34" s="93"/>
      <c r="K34" s="35" t="s">
        <v>296</v>
      </c>
      <c r="M34" s="36" t="s">
        <v>295</v>
      </c>
    </row>
    <row r="35" spans="1:19" ht="13">
      <c r="A35" s="96"/>
      <c r="B35" s="96"/>
      <c r="C35" s="97"/>
      <c r="D35" s="98" t="s">
        <v>297</v>
      </c>
      <c r="E35" s="92">
        <v>41517</v>
      </c>
      <c r="F35" s="95" t="s">
        <v>276</v>
      </c>
      <c r="G35" s="38">
        <v>152472.76</v>
      </c>
      <c r="H35" s="38">
        <v>140264.46</v>
      </c>
      <c r="I35" s="93">
        <f>G35/H35-1</f>
        <v>8.7037728587840535E-2</v>
      </c>
      <c r="J35" s="93"/>
      <c r="K35" s="35" t="s">
        <v>298</v>
      </c>
    </row>
    <row r="36" spans="1:19" ht="13">
      <c r="A36" s="96"/>
      <c r="B36" s="96"/>
      <c r="C36" s="98" t="s">
        <v>270</v>
      </c>
      <c r="D36" s="98" t="s">
        <v>299</v>
      </c>
      <c r="E36" s="92">
        <v>42369</v>
      </c>
      <c r="F36" s="95" t="s">
        <v>272</v>
      </c>
      <c r="G36" s="38">
        <v>333432.14</v>
      </c>
      <c r="H36" s="38">
        <v>217194.97</v>
      </c>
      <c r="I36" s="93">
        <f>G36/H36-1</f>
        <v>0.53517431826344786</v>
      </c>
      <c r="J36" s="93"/>
      <c r="K36" s="35" t="s">
        <v>298</v>
      </c>
    </row>
    <row r="37" spans="1:19" ht="13">
      <c r="A37" s="96"/>
      <c r="B37" s="96"/>
      <c r="C37" s="98" t="s">
        <v>270</v>
      </c>
      <c r="D37" s="98" t="s">
        <v>300</v>
      </c>
      <c r="E37" s="92">
        <v>41274</v>
      </c>
      <c r="F37" s="95" t="s">
        <v>272</v>
      </c>
      <c r="G37" s="38">
        <v>259712.37</v>
      </c>
      <c r="H37" s="38">
        <v>156994.57</v>
      </c>
      <c r="I37" s="93">
        <f>G37/H37-1</f>
        <v>0.65427613197067891</v>
      </c>
      <c r="J37" s="93"/>
      <c r="K37" s="35" t="s">
        <v>298</v>
      </c>
    </row>
    <row r="38" spans="1:19" ht="17.25" customHeight="1">
      <c r="A38" s="35">
        <v>5</v>
      </c>
      <c r="B38" s="35"/>
      <c r="C38" s="35" t="s">
        <v>270</v>
      </c>
      <c r="D38" s="35" t="str">
        <f>交易案例比较法测算表!B6</f>
        <v>天津航空</v>
      </c>
      <c r="E38" s="43">
        <f>交易案例比较法测算表!D6</f>
        <v>0</v>
      </c>
      <c r="F38" s="43" t="s">
        <v>326</v>
      </c>
      <c r="G38" s="41">
        <f>交易案例比较法测算表!K6</f>
        <v>1395291.5</v>
      </c>
      <c r="H38" s="38">
        <f>交易案例比较法测算表!G6</f>
        <v>1110246.358064</v>
      </c>
      <c r="I38" s="49"/>
      <c r="J38" s="49">
        <f>交易案例比较法测算表!N105</f>
        <v>1.1169373122770063</v>
      </c>
      <c r="L38" s="84"/>
      <c r="N38" s="83"/>
      <c r="O38" s="36"/>
      <c r="P38" s="36"/>
      <c r="Q38" s="36"/>
      <c r="R38" s="36"/>
      <c r="S38" s="36"/>
    </row>
    <row r="39" spans="1:19">
      <c r="D39" s="143" t="s">
        <v>342</v>
      </c>
    </row>
    <row r="41" spans="1:19">
      <c r="I41" s="16"/>
      <c r="J41" s="16"/>
    </row>
    <row r="42" spans="1:19">
      <c r="C42" s="143" t="s">
        <v>389</v>
      </c>
      <c r="D42" s="143" t="s">
        <v>390</v>
      </c>
      <c r="H42" s="16">
        <v>111601.15</v>
      </c>
      <c r="M42" s="31" t="s">
        <v>391</v>
      </c>
    </row>
    <row r="43" spans="1:19">
      <c r="G43" s="16">
        <v>18000</v>
      </c>
      <c r="H43" s="16">
        <f>H42*11.9%</f>
        <v>13280.53685</v>
      </c>
      <c r="I43" s="207">
        <f>G43/H43/(1-15%)</f>
        <v>1.5945492887386774</v>
      </c>
      <c r="J43" s="16">
        <f>H43*I43*(1-15%)</f>
        <v>18000.000000000004</v>
      </c>
    </row>
  </sheetData>
  <mergeCells count="2">
    <mergeCell ref="A1:I1"/>
    <mergeCell ref="A29:I29"/>
  </mergeCells>
  <phoneticPr fontId="2" type="noConversion"/>
  <pageMargins left="0.7" right="0.7" top="0.75" bottom="0.75" header="0.3" footer="0.3"/>
  <pageSetup paperSize="9"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2AD78-02C2-425B-9F39-225F4F097703}">
  <dimension ref="A1:S114"/>
  <sheetViews>
    <sheetView workbookViewId="0">
      <pane xSplit="4" ySplit="1" topLeftCell="H2" activePane="bottomRight" state="frozenSplit"/>
      <selection pane="topRight" activeCell="E1" sqref="E1"/>
      <selection pane="bottomLeft" activeCell="A2" sqref="A2"/>
      <selection pane="bottomRight" activeCell="D28" sqref="D28"/>
    </sheetView>
  </sheetViews>
  <sheetFormatPr defaultRowHeight="14"/>
  <cols>
    <col min="1" max="1" width="4.7265625" bestFit="1" customWidth="1"/>
    <col min="2" max="2" width="11.36328125" bestFit="1" customWidth="1"/>
    <col min="3" max="3" width="13.7265625" bestFit="1" customWidth="1"/>
    <col min="4" max="4" width="13.7265625" customWidth="1"/>
    <col min="5" max="6" width="19" bestFit="1" customWidth="1"/>
    <col min="7" max="7" width="14.7265625" bestFit="1" customWidth="1"/>
    <col min="8" max="10" width="19" bestFit="1" customWidth="1"/>
    <col min="11" max="11" width="14.08984375" bestFit="1" customWidth="1"/>
    <col min="12" max="12" width="16.08984375" bestFit="1" customWidth="1"/>
    <col min="13" max="13" width="14.26953125" bestFit="1" customWidth="1"/>
    <col min="14" max="14" width="15.26953125" customWidth="1"/>
    <col min="15" max="15" width="14.453125" customWidth="1"/>
    <col min="17" max="17" width="67.08984375" bestFit="1" customWidth="1"/>
    <col min="19" max="19" width="16.08984375" bestFit="1" customWidth="1"/>
  </cols>
  <sheetData>
    <row r="1" spans="1:19">
      <c r="A1" s="34" t="s">
        <v>331</v>
      </c>
      <c r="B1" s="34" t="s">
        <v>79</v>
      </c>
      <c r="C1" s="34" t="s">
        <v>312</v>
      </c>
      <c r="D1" s="34" t="s">
        <v>313</v>
      </c>
      <c r="E1" s="34" t="s">
        <v>304</v>
      </c>
      <c r="F1" s="34" t="s">
        <v>305</v>
      </c>
      <c r="G1" s="34" t="s">
        <v>76</v>
      </c>
      <c r="H1" s="34" t="s">
        <v>306</v>
      </c>
      <c r="I1" s="34" t="s">
        <v>307</v>
      </c>
      <c r="J1" s="34" t="s">
        <v>308</v>
      </c>
      <c r="K1" s="34" t="s">
        <v>309</v>
      </c>
      <c r="L1" s="34" t="s">
        <v>310</v>
      </c>
      <c r="M1" s="34" t="s">
        <v>311</v>
      </c>
      <c r="O1" s="34" t="s">
        <v>325</v>
      </c>
      <c r="Q1" s="34" t="s">
        <v>345</v>
      </c>
    </row>
    <row r="2" spans="1:19">
      <c r="A2" s="35">
        <v>1</v>
      </c>
      <c r="B2" s="35" t="s">
        <v>271</v>
      </c>
      <c r="C2" s="43">
        <v>43100</v>
      </c>
      <c r="D2" s="43">
        <v>43374</v>
      </c>
      <c r="E2" s="105">
        <v>1832074.41</v>
      </c>
      <c r="F2" s="105">
        <f>E2-G2</f>
        <v>973835.04999999993</v>
      </c>
      <c r="G2" s="105">
        <v>858239.36</v>
      </c>
      <c r="H2" s="105">
        <v>640531.18000000005</v>
      </c>
      <c r="I2" s="105">
        <f>I14</f>
        <v>28469.464357649042</v>
      </c>
      <c r="J2" s="105">
        <v>24167.19</v>
      </c>
      <c r="K2" s="105">
        <v>933380.03</v>
      </c>
      <c r="L2" s="109">
        <f t="shared" ref="L2:L4" si="0">K2/G2</f>
        <v>1.0875521136667514</v>
      </c>
      <c r="M2" s="109">
        <f>K2/H2</f>
        <v>1.4571968690111228</v>
      </c>
      <c r="O2" s="224">
        <f>L2</f>
        <v>1.0875521136667514</v>
      </c>
      <c r="Q2" s="147" t="s">
        <v>346</v>
      </c>
    </row>
    <row r="3" spans="1:19">
      <c r="A3" s="44">
        <v>2</v>
      </c>
      <c r="B3" s="44" t="s">
        <v>274</v>
      </c>
      <c r="C3" s="43">
        <v>42916</v>
      </c>
      <c r="D3" s="110">
        <v>43022</v>
      </c>
      <c r="E3" s="106">
        <v>335615.67</v>
      </c>
      <c r="F3" s="106">
        <v>105616.92</v>
      </c>
      <c r="G3" s="105">
        <f>E3-F3</f>
        <v>229998.75</v>
      </c>
      <c r="H3" s="106">
        <v>109276.94</v>
      </c>
      <c r="I3" s="106">
        <v>8811.3799999999992</v>
      </c>
      <c r="J3" s="106">
        <v>6640.1</v>
      </c>
      <c r="K3" s="105">
        <v>248695.5</v>
      </c>
      <c r="L3" s="109"/>
      <c r="M3" s="109"/>
      <c r="N3" s="76">
        <f>20.57*10000</f>
        <v>205700</v>
      </c>
      <c r="O3" s="32"/>
      <c r="Q3" s="147" t="s">
        <v>349</v>
      </c>
      <c r="R3" s="31" t="s">
        <v>348</v>
      </c>
    </row>
    <row r="4" spans="1:19">
      <c r="A4" s="35">
        <v>3</v>
      </c>
      <c r="B4" s="35" t="s">
        <v>275</v>
      </c>
      <c r="C4" s="43">
        <v>43100</v>
      </c>
      <c r="D4" s="43">
        <v>43251</v>
      </c>
      <c r="E4" s="105">
        <f>E23</f>
        <v>1072683.9702000001</v>
      </c>
      <c r="F4" s="105">
        <f t="shared" ref="F4:J4" si="1">F23</f>
        <v>378096.31589999999</v>
      </c>
      <c r="G4" s="105">
        <f t="shared" si="1"/>
        <v>694587.65430000005</v>
      </c>
      <c r="H4" s="105">
        <f t="shared" si="1"/>
        <v>119135.5181</v>
      </c>
      <c r="I4" s="105">
        <f t="shared" si="1"/>
        <v>2536.9902999999999</v>
      </c>
      <c r="J4" s="105">
        <f t="shared" si="1"/>
        <v>2614.8941</v>
      </c>
      <c r="K4" s="105">
        <v>835554.12</v>
      </c>
      <c r="L4" s="109">
        <f t="shared" si="0"/>
        <v>1.2029498578434494</v>
      </c>
      <c r="M4" s="109">
        <f>K4/H4</f>
        <v>7.0134761935450047</v>
      </c>
      <c r="O4" s="224">
        <f>L4</f>
        <v>1.2029498578434494</v>
      </c>
      <c r="Q4" s="147" t="s">
        <v>350</v>
      </c>
      <c r="R4" s="149" t="s">
        <v>348</v>
      </c>
    </row>
    <row r="5" spans="1:19">
      <c r="A5" s="35">
        <v>4</v>
      </c>
      <c r="B5" s="35" t="s">
        <v>277</v>
      </c>
      <c r="C5" s="43">
        <v>43373</v>
      </c>
      <c r="D5" s="43">
        <v>43447</v>
      </c>
      <c r="E5" s="105">
        <f>E27</f>
        <v>1524960.54</v>
      </c>
      <c r="F5" s="105">
        <f t="shared" ref="F5:J5" si="2">F27</f>
        <v>297723.59000000003</v>
      </c>
      <c r="G5" s="105">
        <f t="shared" si="2"/>
        <v>1227236.95</v>
      </c>
      <c r="H5" s="105">
        <f t="shared" si="2"/>
        <v>432700.67</v>
      </c>
      <c r="I5" s="105">
        <f t="shared" si="2"/>
        <v>-6172.78</v>
      </c>
      <c r="J5" s="105">
        <f t="shared" si="2"/>
        <v>-6963.79</v>
      </c>
      <c r="K5" s="105">
        <v>1285135.68</v>
      </c>
      <c r="L5" s="109"/>
      <c r="M5" s="109"/>
      <c r="O5" s="224"/>
      <c r="Q5" s="147" t="s">
        <v>347</v>
      </c>
      <c r="R5" s="149" t="s">
        <v>348</v>
      </c>
    </row>
    <row r="6" spans="1:19">
      <c r="A6" s="35">
        <v>5</v>
      </c>
      <c r="B6" s="35" t="s">
        <v>273</v>
      </c>
      <c r="C6" s="43">
        <f>'1-交易案例比较法'!E8</f>
        <v>43708</v>
      </c>
      <c r="D6" s="43"/>
      <c r="E6" s="105">
        <f>E33</f>
        <v>5293243.5841039997</v>
      </c>
      <c r="F6" s="105">
        <f t="shared" ref="F6:K6" si="3">F33</f>
        <v>3842087.5965489997</v>
      </c>
      <c r="G6" s="105">
        <f t="shared" si="3"/>
        <v>1110246.358064</v>
      </c>
      <c r="H6" s="105">
        <f t="shared" si="3"/>
        <v>782153.77950599999</v>
      </c>
      <c r="I6" s="105">
        <f t="shared" si="3"/>
        <v>85326.409155000001</v>
      </c>
      <c r="J6" s="105">
        <f t="shared" si="3"/>
        <v>64305.526613000002</v>
      </c>
      <c r="K6" s="105">
        <f t="shared" si="3"/>
        <v>1395291.5</v>
      </c>
      <c r="L6" s="109">
        <f>K6/G6</f>
        <v>1.2567404431148501</v>
      </c>
      <c r="M6" s="109">
        <f>K6/H6</f>
        <v>1.7839094262016495</v>
      </c>
      <c r="O6" s="211">
        <f>L6*0.9</f>
        <v>1.1310663988033651</v>
      </c>
      <c r="Q6" s="147" t="s">
        <v>409</v>
      </c>
      <c r="R6" s="149" t="s">
        <v>348</v>
      </c>
    </row>
    <row r="7" spans="1:19">
      <c r="A7" s="35">
        <v>6</v>
      </c>
      <c r="B7" s="35" t="str">
        <f>'1-交易案例比较法'!D7</f>
        <v>幸福奥凯航空</v>
      </c>
      <c r="C7" s="43">
        <v>43312</v>
      </c>
      <c r="D7" s="43">
        <f>'1-交易案例比较法'!E7</f>
        <v>43355</v>
      </c>
      <c r="E7" s="105">
        <f t="shared" ref="E7:K7" si="4">E37</f>
        <v>52690.75</v>
      </c>
      <c r="F7" s="105">
        <f t="shared" si="4"/>
        <v>36.03</v>
      </c>
      <c r="G7" s="105">
        <f t="shared" si="4"/>
        <v>52654.720000000001</v>
      </c>
      <c r="H7" s="105">
        <f t="shared" si="4"/>
        <v>41598.839999999997</v>
      </c>
      <c r="I7" s="105">
        <f t="shared" si="4"/>
        <v>-16272.59</v>
      </c>
      <c r="J7" s="105">
        <f t="shared" si="4"/>
        <v>-15926.81</v>
      </c>
      <c r="K7" s="105">
        <f t="shared" si="4"/>
        <v>209952.83333333334</v>
      </c>
      <c r="L7" s="109">
        <f>K7/G7</f>
        <v>3.9873506749885546</v>
      </c>
      <c r="M7" s="109">
        <f>K7/7*12/H7</f>
        <v>8.6521437342277547</v>
      </c>
      <c r="O7" s="224">
        <f>L7</f>
        <v>3.9873506749885546</v>
      </c>
      <c r="Q7" s="147" t="s">
        <v>408</v>
      </c>
      <c r="R7" s="149" t="s">
        <v>348</v>
      </c>
      <c r="S7" s="76"/>
    </row>
    <row r="8" spans="1:19">
      <c r="A8" s="35">
        <v>7</v>
      </c>
      <c r="B8" s="35" t="str">
        <f>'1-交易案例比较法'!D9</f>
        <v>九元航空</v>
      </c>
      <c r="C8" s="43">
        <f>'1-交易案例比较法'!E9</f>
        <v>43646</v>
      </c>
      <c r="D8" s="43">
        <v>43775</v>
      </c>
      <c r="E8" s="105">
        <f t="shared" ref="E8:K8" si="5">E42</f>
        <v>439631.5</v>
      </c>
      <c r="F8" s="105">
        <f t="shared" si="5"/>
        <v>328030.34999999998</v>
      </c>
      <c r="G8" s="105">
        <f t="shared" si="5"/>
        <v>111601.15</v>
      </c>
      <c r="H8" s="105">
        <f t="shared" si="5"/>
        <v>135711.39000000001</v>
      </c>
      <c r="I8" s="105">
        <f t="shared" si="5"/>
        <v>0</v>
      </c>
      <c r="J8" s="105">
        <f t="shared" si="5"/>
        <v>1922.56</v>
      </c>
      <c r="K8" s="105">
        <f t="shared" si="5"/>
        <v>151260.50420168065</v>
      </c>
      <c r="L8" s="109">
        <f>K8/G8</f>
        <v>1.3553668954278757</v>
      </c>
      <c r="M8" s="109">
        <f>K8/6*12/H8</f>
        <v>2.2291497301984844</v>
      </c>
      <c r="O8" s="211">
        <f>L8*0.9</f>
        <v>1.2198302058850881</v>
      </c>
      <c r="Q8" s="147" t="s">
        <v>407</v>
      </c>
      <c r="R8" s="149" t="s">
        <v>410</v>
      </c>
      <c r="S8" s="76"/>
    </row>
    <row r="9" spans="1:19">
      <c r="A9" s="83"/>
      <c r="B9" s="83" t="s">
        <v>411</v>
      </c>
      <c r="C9" s="107"/>
      <c r="D9" s="107"/>
      <c r="E9" s="222">
        <v>1273414.93337</v>
      </c>
      <c r="F9" s="222">
        <v>713512.89422800008</v>
      </c>
      <c r="G9" s="222">
        <v>559902.03914200002</v>
      </c>
      <c r="H9" s="222">
        <v>372288.74968499999</v>
      </c>
      <c r="I9" s="222">
        <v>-23197.37627200003</v>
      </c>
      <c r="J9" s="222">
        <v>-23197.37627200003</v>
      </c>
      <c r="K9" s="222"/>
      <c r="L9" s="146"/>
      <c r="M9" s="146"/>
      <c r="O9" s="100">
        <f>AVERAGE(O2:O8)</f>
        <v>1.7257498502374418</v>
      </c>
      <c r="Q9" s="223"/>
      <c r="R9" s="149"/>
      <c r="S9" s="76"/>
    </row>
    <row r="10" spans="1:19">
      <c r="B10" s="83"/>
      <c r="C10" s="107"/>
      <c r="D10" s="107"/>
      <c r="E10" s="129"/>
      <c r="F10" s="129"/>
      <c r="G10" s="129"/>
      <c r="H10" s="129"/>
      <c r="I10" s="129"/>
      <c r="J10" s="129"/>
      <c r="K10" s="129"/>
      <c r="L10" s="130">
        <f>AVERAGE(L2:L7)</f>
        <v>1.8836482724034016</v>
      </c>
      <c r="M10" s="130">
        <f>AVERAGE(M2:M7)</f>
        <v>4.7266815557463833</v>
      </c>
      <c r="N10" s="52">
        <f>M10*33*1.14*0.9</f>
        <v>160.03598411446103</v>
      </c>
      <c r="O10">
        <v>50</v>
      </c>
      <c r="P10" s="52">
        <f>N10-O10</f>
        <v>110.03598411446103</v>
      </c>
    </row>
    <row r="11" spans="1:19">
      <c r="K11" s="52"/>
      <c r="N11" s="52">
        <f>O9*45*1.14*0.9</f>
        <v>79.677870585462685</v>
      </c>
      <c r="O11">
        <v>50</v>
      </c>
      <c r="P11" s="52">
        <f>N11-O11</f>
        <v>29.677870585462685</v>
      </c>
    </row>
    <row r="12" spans="1:19" ht="16.5">
      <c r="B12" s="452" t="s">
        <v>271</v>
      </c>
      <c r="C12" s="43">
        <v>42369</v>
      </c>
      <c r="D12" s="43"/>
      <c r="E12" s="108">
        <v>1073164.79</v>
      </c>
      <c r="F12" s="108">
        <v>748018.67</v>
      </c>
      <c r="G12" s="108">
        <f>E12-F12</f>
        <v>325146.12</v>
      </c>
      <c r="H12" s="108">
        <v>414827.78</v>
      </c>
      <c r="I12" s="108">
        <v>33413.800000000003</v>
      </c>
      <c r="J12" s="108">
        <v>28365.39</v>
      </c>
      <c r="K12" s="108"/>
      <c r="L12" s="34"/>
      <c r="M12" s="34"/>
      <c r="N12">
        <f>J12/I12</f>
        <v>0.84891242540507206</v>
      </c>
      <c r="O12" s="111" t="s">
        <v>314</v>
      </c>
    </row>
    <row r="13" spans="1:19">
      <c r="B13" s="453"/>
      <c r="C13" s="43">
        <v>42735</v>
      </c>
      <c r="D13" s="43"/>
      <c r="E13" s="108">
        <v>1226461.1599999999</v>
      </c>
      <c r="F13" s="108">
        <v>754452.53</v>
      </c>
      <c r="G13" s="108">
        <f>E13-F13</f>
        <v>472008.62999999989</v>
      </c>
      <c r="H13" s="108">
        <v>497306.73</v>
      </c>
      <c r="I13" s="108">
        <v>54082.15</v>
      </c>
      <c r="J13" s="108">
        <v>45907.62</v>
      </c>
      <c r="K13" s="108"/>
      <c r="L13" s="34"/>
      <c r="M13" s="34"/>
      <c r="N13">
        <f>J13/I13</f>
        <v>0.84884975911645522</v>
      </c>
      <c r="O13" t="s">
        <v>315</v>
      </c>
    </row>
    <row r="14" spans="1:19">
      <c r="B14" s="454"/>
      <c r="C14" s="43">
        <v>43100</v>
      </c>
      <c r="D14" s="43"/>
      <c r="E14" s="108">
        <f>E2</f>
        <v>1832074.41</v>
      </c>
      <c r="F14" s="108">
        <f>F2</f>
        <v>973835.04999999993</v>
      </c>
      <c r="G14" s="108">
        <f>G2</f>
        <v>858239.36</v>
      </c>
      <c r="H14" s="108">
        <f>H2</f>
        <v>640531.18000000005</v>
      </c>
      <c r="I14" s="108">
        <f>J14/N14</f>
        <v>28469.464357649042</v>
      </c>
      <c r="J14" s="108">
        <f>J2</f>
        <v>24167.19</v>
      </c>
      <c r="K14" s="108">
        <f>K2</f>
        <v>933380.03</v>
      </c>
      <c r="L14" s="109">
        <f>K14/G14</f>
        <v>1.0875521136667514</v>
      </c>
      <c r="M14" s="109">
        <f>K14/H14</f>
        <v>1.4571968690111228</v>
      </c>
      <c r="N14">
        <f>AVERAGE(N12:N13)</f>
        <v>0.84888109226076369</v>
      </c>
      <c r="O14" t="s">
        <v>316</v>
      </c>
    </row>
    <row r="15" spans="1:19">
      <c r="C15" s="107"/>
      <c r="D15" s="107"/>
      <c r="L15" s="100"/>
      <c r="M15" s="100"/>
    </row>
    <row r="16" spans="1:19" ht="16.5" hidden="1">
      <c r="B16" s="452" t="str">
        <f>B3</f>
        <v>山西航空</v>
      </c>
      <c r="C16" s="43">
        <v>42369</v>
      </c>
      <c r="D16" s="43"/>
      <c r="E16" s="108">
        <v>311260.37</v>
      </c>
      <c r="F16" s="108">
        <v>100832.57</v>
      </c>
      <c r="G16" s="108">
        <f>E16-F16</f>
        <v>210427.8</v>
      </c>
      <c r="H16" s="108">
        <v>164053.18</v>
      </c>
      <c r="I16" s="108">
        <v>14761.72</v>
      </c>
      <c r="J16" s="108">
        <v>11096.13</v>
      </c>
      <c r="K16" s="108"/>
      <c r="L16" s="109"/>
      <c r="M16" s="109"/>
      <c r="O16" s="112" t="s">
        <v>317</v>
      </c>
    </row>
    <row r="17" spans="2:15" ht="16.5" hidden="1">
      <c r="B17" s="453"/>
      <c r="C17" s="43">
        <v>42735</v>
      </c>
      <c r="D17" s="43"/>
      <c r="E17" s="108">
        <v>321068.14</v>
      </c>
      <c r="F17" s="108">
        <v>97709.49</v>
      </c>
      <c r="G17" s="108">
        <f>E17-F17</f>
        <v>223358.65000000002</v>
      </c>
      <c r="H17" s="108">
        <v>182130.03</v>
      </c>
      <c r="I17" s="108">
        <v>17175.47</v>
      </c>
      <c r="J17" s="108">
        <v>12930.85</v>
      </c>
      <c r="K17" s="108"/>
      <c r="L17" s="109"/>
      <c r="M17" s="109"/>
      <c r="N17" t="s">
        <v>324</v>
      </c>
      <c r="O17" s="113" t="s">
        <v>318</v>
      </c>
    </row>
    <row r="18" spans="2:15" hidden="1">
      <c r="B18" s="454"/>
      <c r="C18" s="43">
        <f>C3</f>
        <v>42916</v>
      </c>
      <c r="D18" s="43"/>
      <c r="E18" s="108">
        <f t="shared" ref="E18:K18" si="6">E3</f>
        <v>335615.67</v>
      </c>
      <c r="F18" s="108">
        <f t="shared" si="6"/>
        <v>105616.92</v>
      </c>
      <c r="G18" s="108">
        <f t="shared" si="6"/>
        <v>229998.75</v>
      </c>
      <c r="H18" s="108">
        <f t="shared" si="6"/>
        <v>109276.94</v>
      </c>
      <c r="I18" s="108">
        <f t="shared" si="6"/>
        <v>8811.3799999999992</v>
      </c>
      <c r="J18" s="108">
        <f t="shared" si="6"/>
        <v>6640.1</v>
      </c>
      <c r="K18" s="108">
        <f t="shared" si="6"/>
        <v>248695.5</v>
      </c>
      <c r="L18" s="109">
        <f>K18/G18</f>
        <v>1.0812906591883651</v>
      </c>
      <c r="M18" s="109">
        <f>K18/N18</f>
        <v>1.2090204180845892</v>
      </c>
      <c r="N18" s="76">
        <f>20.57*10000</f>
        <v>205700</v>
      </c>
    </row>
    <row r="20" spans="2:15">
      <c r="B20" s="452" t="str">
        <f>B4</f>
        <v>长安航空</v>
      </c>
      <c r="C20" s="43">
        <v>42004</v>
      </c>
      <c r="D20" s="43"/>
      <c r="E20" s="108">
        <v>904750.97329999995</v>
      </c>
      <c r="F20" s="108">
        <v>507830.48719999997</v>
      </c>
      <c r="G20" s="108">
        <f>(E20-F20)</f>
        <v>396920.48609999998</v>
      </c>
      <c r="H20" s="108">
        <v>239486.75649999999</v>
      </c>
      <c r="I20" s="108">
        <v>21743.8786</v>
      </c>
      <c r="J20" s="108">
        <v>19180.220399999998</v>
      </c>
      <c r="K20" s="34"/>
      <c r="L20" s="34"/>
      <c r="M20" s="34"/>
    </row>
    <row r="21" spans="2:15">
      <c r="B21" s="453"/>
      <c r="C21" s="43">
        <v>42369</v>
      </c>
      <c r="D21" s="43"/>
      <c r="E21" s="108">
        <v>885616.02309999999</v>
      </c>
      <c r="F21" s="108">
        <v>424663.35239999997</v>
      </c>
      <c r="G21" s="108">
        <f>(E21-F21)</f>
        <v>460952.67070000002</v>
      </c>
      <c r="H21" s="108">
        <v>224701.92739999999</v>
      </c>
      <c r="I21" s="108">
        <v>26474.406500000001</v>
      </c>
      <c r="J21" s="108">
        <v>23199.946499999998</v>
      </c>
      <c r="K21" s="34"/>
      <c r="L21" s="34"/>
      <c r="M21" s="34"/>
    </row>
    <row r="22" spans="2:15">
      <c r="B22" s="453"/>
      <c r="C22" s="43">
        <v>42735</v>
      </c>
      <c r="D22" s="43"/>
      <c r="E22" s="108">
        <v>1020185.4222</v>
      </c>
      <c r="F22" s="108">
        <v>329236.42330000002</v>
      </c>
      <c r="G22" s="108">
        <f>(E22-F22)</f>
        <v>690948.99890000001</v>
      </c>
      <c r="H22" s="108">
        <v>115510.6738</v>
      </c>
      <c r="I22" s="108">
        <v>6867.6705000000002</v>
      </c>
      <c r="J22" s="108">
        <v>6275.7903999999999</v>
      </c>
      <c r="K22" s="108"/>
      <c r="L22" s="34"/>
      <c r="M22" s="34"/>
    </row>
    <row r="23" spans="2:15" ht="16.5">
      <c r="B23" s="454"/>
      <c r="C23" s="43">
        <f>C4</f>
        <v>43100</v>
      </c>
      <c r="D23" s="43"/>
      <c r="E23" s="108">
        <v>1072683.9702000001</v>
      </c>
      <c r="F23" s="108">
        <v>378096.31589999999</v>
      </c>
      <c r="G23" s="108">
        <f>((E23-F23))</f>
        <v>694587.65430000005</v>
      </c>
      <c r="H23" s="108">
        <v>119135.5181</v>
      </c>
      <c r="I23" s="108">
        <v>2536.9902999999999</v>
      </c>
      <c r="J23" s="108">
        <v>2614.8941</v>
      </c>
      <c r="K23" s="108">
        <v>835554.12</v>
      </c>
      <c r="L23" s="109">
        <f>K23/G23</f>
        <v>1.2029498578434494</v>
      </c>
      <c r="M23" s="109">
        <f>K23/H23</f>
        <v>7.0134761935450047</v>
      </c>
      <c r="O23" s="113" t="s">
        <v>329</v>
      </c>
    </row>
    <row r="24" spans="2:15">
      <c r="C24" s="107"/>
      <c r="D24" s="107"/>
      <c r="L24" s="100"/>
      <c r="M24" s="100"/>
    </row>
    <row r="25" spans="2:15" hidden="1">
      <c r="B25" s="452" t="str">
        <f>B5</f>
        <v>新华航空</v>
      </c>
      <c r="C25" s="43">
        <v>42735</v>
      </c>
      <c r="D25" s="43"/>
      <c r="E25" s="108">
        <v>1454561.18</v>
      </c>
      <c r="F25" s="108">
        <v>262543.99</v>
      </c>
      <c r="G25" s="108">
        <f>E25-F25</f>
        <v>1192017.19</v>
      </c>
      <c r="H25" s="108">
        <v>474668.87</v>
      </c>
      <c r="I25" s="108">
        <v>48006.8</v>
      </c>
      <c r="J25" s="108">
        <v>41636.75</v>
      </c>
      <c r="K25" s="108"/>
      <c r="L25" s="109"/>
      <c r="M25" s="109"/>
    </row>
    <row r="26" spans="2:15" hidden="1">
      <c r="B26" s="453"/>
      <c r="C26" s="43">
        <v>43100</v>
      </c>
      <c r="D26" s="43"/>
      <c r="E26" s="108">
        <v>1553339.42</v>
      </c>
      <c r="F26" s="108">
        <v>316257.23</v>
      </c>
      <c r="G26" s="108">
        <f>E26-F26</f>
        <v>1237082.19</v>
      </c>
      <c r="H26" s="108">
        <v>552125.21</v>
      </c>
      <c r="I26" s="108">
        <v>42954.32</v>
      </c>
      <c r="J26" s="108">
        <v>36523.870000000003</v>
      </c>
      <c r="K26" s="108"/>
      <c r="L26" s="109"/>
      <c r="M26" s="109"/>
    </row>
    <row r="27" spans="2:15" ht="16.5" hidden="1">
      <c r="B27" s="454"/>
      <c r="C27" s="43">
        <f>C5</f>
        <v>43373</v>
      </c>
      <c r="D27" s="43"/>
      <c r="E27" s="108">
        <v>1524960.54</v>
      </c>
      <c r="F27" s="108">
        <v>297723.59000000003</v>
      </c>
      <c r="G27" s="108">
        <f>E27-F27</f>
        <v>1227236.95</v>
      </c>
      <c r="H27" s="108">
        <v>432700.67</v>
      </c>
      <c r="I27" s="108">
        <v>-6172.78</v>
      </c>
      <c r="J27" s="108">
        <v>-6963.79</v>
      </c>
      <c r="K27" s="108">
        <f>K5</f>
        <v>1285135.68</v>
      </c>
      <c r="L27" s="109">
        <f>K27/G27</f>
        <v>1.047178118292478</v>
      </c>
      <c r="M27" s="109">
        <f>K27/(H27/0.7647)</f>
        <v>2.271184961409928</v>
      </c>
      <c r="O27" s="113" t="s">
        <v>323</v>
      </c>
    </row>
    <row r="29" spans="2:15">
      <c r="B29" s="452" t="str">
        <f>B6</f>
        <v>天津航空</v>
      </c>
      <c r="C29" s="43">
        <v>42369</v>
      </c>
      <c r="D29" s="43"/>
      <c r="E29" s="108">
        <v>3453008.92</v>
      </c>
      <c r="F29" s="108">
        <v>2293197.4700000002</v>
      </c>
      <c r="G29" s="108">
        <f>E29-F29</f>
        <v>1159811.4499999997</v>
      </c>
      <c r="H29" s="108">
        <v>750061.77</v>
      </c>
      <c r="I29" s="108">
        <v>77710.53</v>
      </c>
      <c r="J29" s="108">
        <v>60756.89</v>
      </c>
      <c r="K29" s="108"/>
      <c r="L29" s="109"/>
      <c r="M29" s="109"/>
    </row>
    <row r="30" spans="2:15">
      <c r="B30" s="453"/>
      <c r="C30" s="43">
        <v>42735</v>
      </c>
      <c r="D30" s="43"/>
      <c r="E30" s="108">
        <v>3854542.55</v>
      </c>
      <c r="F30" s="108">
        <v>2456510.5299999998</v>
      </c>
      <c r="G30" s="108">
        <f>E30-F30</f>
        <v>1398032.02</v>
      </c>
      <c r="H30" s="108">
        <v>824573.61</v>
      </c>
      <c r="I30" s="108">
        <v>55946.64</v>
      </c>
      <c r="J30" s="108">
        <v>49690.97</v>
      </c>
      <c r="K30" s="108"/>
      <c r="L30" s="109"/>
      <c r="M30" s="109"/>
    </row>
    <row r="31" spans="2:15">
      <c r="B31" s="453"/>
      <c r="C31" s="43">
        <f>C23</f>
        <v>43100</v>
      </c>
      <c r="D31" s="43"/>
      <c r="E31" s="108">
        <v>4119181.41</v>
      </c>
      <c r="F31" s="108">
        <v>2607578.15</v>
      </c>
      <c r="G31" s="108">
        <f>E31-F31</f>
        <v>1511603.2600000002</v>
      </c>
      <c r="H31" s="108">
        <v>975602.46</v>
      </c>
      <c r="I31" s="108">
        <v>58444.94</v>
      </c>
      <c r="J31" s="108">
        <v>50484.4</v>
      </c>
      <c r="K31" s="108"/>
      <c r="L31" s="109"/>
      <c r="M31" s="109"/>
    </row>
    <row r="32" spans="2:15">
      <c r="B32" s="453"/>
      <c r="C32" s="43">
        <v>43465</v>
      </c>
      <c r="D32" s="43"/>
      <c r="E32" s="108">
        <f>38416978499.96/10000</f>
        <v>3841697.8499960001</v>
      </c>
      <c r="F32" s="108">
        <f>24152751649.52/10000</f>
        <v>2415275.1649520001</v>
      </c>
      <c r="G32" s="108">
        <f>E32-F32-3413688472.48/10000</f>
        <v>1085053.8377959998</v>
      </c>
      <c r="H32" s="108">
        <f>11020614146/10000</f>
        <v>1102061.4146</v>
      </c>
      <c r="I32" s="108">
        <f>-1793759482.74/10000</f>
        <v>-179375.94827399999</v>
      </c>
      <c r="J32" s="108">
        <f>-1309838474.78/10000</f>
        <v>-130983.847478</v>
      </c>
      <c r="K32" s="108"/>
      <c r="L32" s="109"/>
      <c r="M32" s="109"/>
    </row>
    <row r="33" spans="2:18" ht="16.5">
      <c r="B33" s="454"/>
      <c r="C33" s="43">
        <v>43343</v>
      </c>
      <c r="D33" s="43"/>
      <c r="E33" s="108">
        <f>52932435841.04/10000</f>
        <v>5293243.5841039997</v>
      </c>
      <c r="F33" s="108">
        <f>38420875965.49/10000</f>
        <v>3842087.5965489997</v>
      </c>
      <c r="G33" s="108">
        <f>E33-F33-3409096294.91/10000</f>
        <v>1110246.358064</v>
      </c>
      <c r="H33" s="108">
        <f>7821537795.06/10000</f>
        <v>782153.77950599999</v>
      </c>
      <c r="I33" s="108">
        <f>853264091.55/10000</f>
        <v>85326.409155000001</v>
      </c>
      <c r="J33" s="108">
        <f>643055266.13/10000</f>
        <v>64305.526613000002</v>
      </c>
      <c r="K33" s="108">
        <v>1395291.5</v>
      </c>
      <c r="L33" s="109">
        <f>K33/G33</f>
        <v>1.2567404431148501</v>
      </c>
      <c r="M33" s="109">
        <f>K33/8*12/H33</f>
        <v>2.6758641393024742</v>
      </c>
      <c r="O33" s="113"/>
    </row>
    <row r="34" spans="2:18" ht="16.5">
      <c r="B34" s="144"/>
      <c r="C34" s="107"/>
      <c r="D34" s="107"/>
      <c r="E34" s="145"/>
      <c r="F34" s="145"/>
      <c r="G34" s="145"/>
      <c r="H34" s="145"/>
      <c r="I34" s="145"/>
      <c r="J34" s="145"/>
      <c r="K34" s="145"/>
      <c r="L34" s="146"/>
      <c r="M34" s="146"/>
      <c r="O34" s="113"/>
    </row>
    <row r="35" spans="2:18" ht="16.5">
      <c r="B35" s="452" t="str">
        <f>B7</f>
        <v>幸福奥凯航空</v>
      </c>
      <c r="C35" s="43"/>
      <c r="D35" s="43"/>
      <c r="E35" s="108"/>
      <c r="F35" s="108"/>
      <c r="G35" s="108"/>
      <c r="H35" s="108"/>
      <c r="I35" s="108"/>
      <c r="J35" s="108"/>
      <c r="K35" s="108"/>
      <c r="L35" s="109"/>
      <c r="M35" s="109"/>
      <c r="O35" s="113"/>
    </row>
    <row r="36" spans="2:18" ht="16.5">
      <c r="B36" s="453"/>
      <c r="C36" s="43">
        <v>43100</v>
      </c>
      <c r="D36" s="43"/>
      <c r="E36" s="108">
        <v>29988.78</v>
      </c>
      <c r="F36" s="108">
        <v>28.03</v>
      </c>
      <c r="G36" s="108">
        <v>29960.76</v>
      </c>
      <c r="H36" s="108">
        <v>39512.89</v>
      </c>
      <c r="I36" s="108">
        <v>-22273.95</v>
      </c>
      <c r="J36" s="108">
        <v>-22207</v>
      </c>
      <c r="K36" s="108"/>
      <c r="L36" s="109"/>
      <c r="M36" s="109"/>
      <c r="O36" s="113"/>
    </row>
    <row r="37" spans="2:18" ht="16.5">
      <c r="B37" s="454"/>
      <c r="C37" s="43">
        <v>43312</v>
      </c>
      <c r="D37" s="43"/>
      <c r="E37" s="108">
        <v>52690.75</v>
      </c>
      <c r="F37" s="108">
        <v>36.03</v>
      </c>
      <c r="G37" s="108">
        <v>52654.720000000001</v>
      </c>
      <c r="H37" s="108">
        <v>41598.839999999997</v>
      </c>
      <c r="I37" s="108">
        <v>-16272.59</v>
      </c>
      <c r="J37" s="108">
        <v>-15926.81</v>
      </c>
      <c r="K37" s="108">
        <v>209952.83333333334</v>
      </c>
      <c r="L37" s="109">
        <f>K37/G37</f>
        <v>3.9873506749885546</v>
      </c>
      <c r="M37" s="109">
        <f>K37/7*12/H37</f>
        <v>8.6521437342277547</v>
      </c>
      <c r="O37" s="113"/>
    </row>
    <row r="38" spans="2:18" ht="16.5">
      <c r="B38" s="144"/>
      <c r="C38" s="107"/>
      <c r="D38" s="107"/>
      <c r="E38" s="145"/>
      <c r="F38" s="145"/>
      <c r="G38" s="145"/>
      <c r="H38" s="145"/>
      <c r="I38" s="145"/>
      <c r="J38" s="145"/>
      <c r="K38" s="145"/>
      <c r="L38" s="146"/>
      <c r="M38" s="146"/>
      <c r="O38" s="113"/>
    </row>
    <row r="39" spans="2:18" ht="16.5">
      <c r="B39" s="144"/>
      <c r="C39" s="107"/>
      <c r="D39" s="107"/>
      <c r="E39" s="145"/>
      <c r="F39" s="145"/>
      <c r="G39" s="145"/>
      <c r="H39" s="145"/>
      <c r="I39" s="145"/>
      <c r="J39" s="145"/>
      <c r="K39" s="145"/>
      <c r="L39" s="146"/>
      <c r="M39" s="146"/>
      <c r="O39" s="113"/>
    </row>
    <row r="40" spans="2:18" ht="16.5">
      <c r="B40" s="452" t="str">
        <f>B8</f>
        <v>九元航空</v>
      </c>
      <c r="C40" s="43"/>
      <c r="D40" s="43"/>
      <c r="E40" s="108"/>
      <c r="F40" s="108"/>
      <c r="G40" s="108"/>
      <c r="H40" s="108"/>
      <c r="I40" s="108"/>
      <c r="J40" s="108"/>
      <c r="K40" s="108"/>
      <c r="L40" s="109"/>
      <c r="M40" s="109"/>
      <c r="O40" s="113"/>
    </row>
    <row r="41" spans="2:18" ht="16.5">
      <c r="B41" s="453"/>
      <c r="C41" s="43">
        <f>C32</f>
        <v>43465</v>
      </c>
      <c r="D41" s="43"/>
      <c r="E41" s="108">
        <v>379582.71999999997</v>
      </c>
      <c r="F41" s="108">
        <v>269904.13</v>
      </c>
      <c r="G41" s="108">
        <v>109678.59</v>
      </c>
      <c r="H41" s="108">
        <v>224903.95</v>
      </c>
      <c r="I41" s="108"/>
      <c r="J41" s="108">
        <v>4039.29</v>
      </c>
      <c r="K41" s="108"/>
      <c r="L41" s="109"/>
      <c r="M41" s="109"/>
      <c r="O41" s="113"/>
    </row>
    <row r="42" spans="2:18" ht="16.5">
      <c r="B42" s="454"/>
      <c r="C42" s="43">
        <v>43646</v>
      </c>
      <c r="D42" s="43"/>
      <c r="E42" s="108">
        <v>439631.5</v>
      </c>
      <c r="F42" s="108">
        <v>328030.34999999998</v>
      </c>
      <c r="G42" s="108">
        <v>111601.15</v>
      </c>
      <c r="H42" s="108">
        <v>135711.39000000001</v>
      </c>
      <c r="I42" s="108"/>
      <c r="J42" s="108">
        <v>1922.56</v>
      </c>
      <c r="K42" s="108">
        <f>1.8*10000/11.9%</f>
        <v>151260.50420168065</v>
      </c>
      <c r="L42" s="109">
        <f>K42/G42</f>
        <v>1.3553668954278757</v>
      </c>
      <c r="M42" s="109">
        <f>K42/6*12/H42</f>
        <v>2.2291497301984844</v>
      </c>
      <c r="O42" s="113"/>
    </row>
    <row r="44" spans="2:18" ht="16.5">
      <c r="G44" s="114"/>
      <c r="H44" s="52"/>
      <c r="I44" s="52"/>
    </row>
    <row r="45" spans="2:18" ht="26.5">
      <c r="B45" s="14" t="s">
        <v>53</v>
      </c>
      <c r="C45" s="14" t="s">
        <v>52</v>
      </c>
      <c r="D45" s="15" t="s">
        <v>50</v>
      </c>
      <c r="E45" s="15" t="s">
        <v>51</v>
      </c>
      <c r="F45" s="15" t="s">
        <v>54</v>
      </c>
      <c r="G45" s="71" t="s">
        <v>279</v>
      </c>
      <c r="H45" s="71" t="s">
        <v>280</v>
      </c>
      <c r="I45" s="71" t="s">
        <v>281</v>
      </c>
      <c r="J45" s="71" t="s">
        <v>336</v>
      </c>
      <c r="K45" s="71" t="s">
        <v>337</v>
      </c>
      <c r="P45" s="15"/>
      <c r="Q45" s="99"/>
      <c r="R45" s="99"/>
    </row>
    <row r="46" spans="2:18">
      <c r="B46" s="455" t="str">
        <f>B12</f>
        <v>云南祥鹏</v>
      </c>
      <c r="C46" s="116">
        <f>C12</f>
        <v>42369</v>
      </c>
      <c r="D46" s="12">
        <f>J12/G12</f>
        <v>8.7238900467272992E-2</v>
      </c>
      <c r="E46" s="12">
        <f>J12/E12</f>
        <v>2.643153247694606E-2</v>
      </c>
      <c r="F46" s="12">
        <f>I12/H12</f>
        <v>8.054860742450759E-2</v>
      </c>
      <c r="G46" s="93">
        <f>F12/E12</f>
        <v>0.69702125616700494</v>
      </c>
      <c r="H46" s="71"/>
      <c r="I46" s="71"/>
      <c r="J46" s="27"/>
      <c r="K46" s="27"/>
      <c r="P46" s="15"/>
      <c r="Q46" s="99"/>
      <c r="R46" s="99"/>
    </row>
    <row r="47" spans="2:18">
      <c r="B47" s="455"/>
      <c r="C47" s="116">
        <f>C13</f>
        <v>42735</v>
      </c>
      <c r="D47" s="12">
        <f>J13/(G13+G12)*2</f>
        <v>0.11517869021040146</v>
      </c>
      <c r="E47" s="12">
        <f>J13/(E13+E12)*2</f>
        <v>3.9926162774428599E-2</v>
      </c>
      <c r="F47" s="12">
        <f>I13/H13</f>
        <v>0.10875008669196977</v>
      </c>
      <c r="G47" s="93">
        <f>F13/E13</f>
        <v>0.61514588036363094</v>
      </c>
      <c r="H47" s="32"/>
      <c r="I47" s="32"/>
      <c r="J47" s="27"/>
      <c r="K47" s="27"/>
      <c r="P47" s="32"/>
      <c r="Q47" s="32"/>
      <c r="R47" s="32"/>
    </row>
    <row r="48" spans="2:18">
      <c r="B48" s="455"/>
      <c r="C48" s="116">
        <f>C14</f>
        <v>43100</v>
      </c>
      <c r="D48" s="12">
        <f>J14/(G14+G13)*2</f>
        <v>3.6334864148150306E-2</v>
      </c>
      <c r="E48" s="12">
        <f>J14/(E14+E13)*2</f>
        <v>1.5803111944844898E-2</v>
      </c>
      <c r="F48" s="12">
        <f>I14/H14</f>
        <v>4.4446648729339046E-2</v>
      </c>
      <c r="G48" s="93">
        <f>F14/E14</f>
        <v>0.53154776066109677</v>
      </c>
      <c r="H48" s="12">
        <f>(H14/H12)^(1/2)-1</f>
        <v>0.24261394045198714</v>
      </c>
      <c r="I48" s="12">
        <f>(I14/I12)^(1/2)-1</f>
        <v>-7.6946839439774428E-2</v>
      </c>
      <c r="J48" s="27">
        <v>46</v>
      </c>
      <c r="K48" s="27"/>
      <c r="P48" s="53">
        <f>G26</f>
        <v>1237082.19</v>
      </c>
      <c r="Q48" s="10"/>
      <c r="R48" s="10"/>
    </row>
    <row r="49" spans="2:18">
      <c r="B49" s="455"/>
      <c r="C49" s="116" t="s">
        <v>251</v>
      </c>
      <c r="D49" s="93">
        <f>AVERAGE(D46:D48)</f>
        <v>7.9584151608608253E-2</v>
      </c>
      <c r="E49" s="93">
        <f>AVERAGE(E46:E48)</f>
        <v>2.7386935732073191E-2</v>
      </c>
      <c r="F49" s="93">
        <f>AVERAGE(F46:F48)</f>
        <v>7.7915114281938799E-2</v>
      </c>
      <c r="G49" s="93">
        <f>AVERAGE(G46:G48)</f>
        <v>0.61457163239724422</v>
      </c>
      <c r="H49" s="12">
        <f>H48</f>
        <v>0.24261394045198714</v>
      </c>
      <c r="I49" s="12">
        <f>I48</f>
        <v>-7.6946839439774428E-2</v>
      </c>
      <c r="J49" s="27">
        <f>J48</f>
        <v>46</v>
      </c>
      <c r="K49" s="135" t="s">
        <v>332</v>
      </c>
      <c r="P49" s="115"/>
      <c r="Q49" s="11"/>
      <c r="R49" s="11"/>
    </row>
    <row r="50" spans="2:18">
      <c r="J50" s="76"/>
      <c r="K50" s="76"/>
    </row>
    <row r="51" spans="2:18">
      <c r="B51" s="455" t="str">
        <f>B16</f>
        <v>山西航空</v>
      </c>
      <c r="C51" s="116">
        <f>C16</f>
        <v>42369</v>
      </c>
      <c r="D51" s="12">
        <f>J16/G16</f>
        <v>5.2731293108610175E-2</v>
      </c>
      <c r="E51" s="12">
        <f>J16/E16</f>
        <v>3.5649029139173741E-2</v>
      </c>
      <c r="F51" s="12">
        <f>I16/H16</f>
        <v>8.9981309719202027E-2</v>
      </c>
      <c r="G51" s="93">
        <f>F16/E16</f>
        <v>0.32394927115199412</v>
      </c>
      <c r="H51" s="32"/>
      <c r="I51" s="32"/>
      <c r="J51" s="128"/>
      <c r="K51" s="128"/>
      <c r="P51" s="32"/>
      <c r="Q51" s="32"/>
      <c r="R51" s="32"/>
    </row>
    <row r="52" spans="2:18">
      <c r="B52" s="455"/>
      <c r="C52" s="116">
        <f>C17</f>
        <v>42735</v>
      </c>
      <c r="D52" s="12">
        <f>J17/(G17+G16)*2</f>
        <v>5.9618505833918971E-2</v>
      </c>
      <c r="E52" s="12">
        <f>J17/(E17+E16)*2</f>
        <v>4.0899152246037428E-2</v>
      </c>
      <c r="F52" s="12">
        <f>I17/H17</f>
        <v>9.4303339213198403E-2</v>
      </c>
      <c r="G52" s="93">
        <f>F17/E17</f>
        <v>0.30432633396761199</v>
      </c>
      <c r="H52" s="32"/>
      <c r="I52" s="32"/>
      <c r="J52" s="128"/>
      <c r="K52" s="128"/>
      <c r="P52" s="32"/>
      <c r="Q52" s="32"/>
      <c r="R52" s="32"/>
    </row>
    <row r="53" spans="2:18">
      <c r="B53" s="455"/>
      <c r="C53" s="116">
        <f>C18</f>
        <v>42916</v>
      </c>
      <c r="D53" s="12">
        <f>J18/(G18+G17)*2</f>
        <v>2.9293003709656002E-2</v>
      </c>
      <c r="E53" s="12">
        <f>J18/(E18+E17)*2</f>
        <v>2.0223126865271734E-2</v>
      </c>
      <c r="F53" s="12">
        <f>I18/H18</f>
        <v>8.0633480403093274E-2</v>
      </c>
      <c r="G53" s="93">
        <f>F18/E18</f>
        <v>0.31469603311430605</v>
      </c>
      <c r="H53" s="12">
        <f>(N18/H16)^(1/2)-1</f>
        <v>0.11975966398533799</v>
      </c>
      <c r="I53" s="12">
        <f>(I18*2/I16)^(1/2)-1</f>
        <v>9.2618329018866907E-2</v>
      </c>
      <c r="J53" s="27">
        <v>14</v>
      </c>
      <c r="K53" s="27"/>
      <c r="P53" s="53"/>
      <c r="Q53" s="10"/>
      <c r="R53" s="10"/>
    </row>
    <row r="54" spans="2:18">
      <c r="B54" s="455"/>
      <c r="C54" s="116" t="s">
        <v>251</v>
      </c>
      <c r="D54" s="93">
        <f>AVERAGE(D51:D53)</f>
        <v>4.7214267550728384E-2</v>
      </c>
      <c r="E54" s="93">
        <f>AVERAGE(E51:E53)</f>
        <v>3.2257102750160964E-2</v>
      </c>
      <c r="F54" s="93">
        <f>AVERAGE(F51:F53)</f>
        <v>8.8306043111831226E-2</v>
      </c>
      <c r="G54" s="93">
        <f>AVERAGE(G51:G53)</f>
        <v>0.31432387941130407</v>
      </c>
      <c r="H54" s="12">
        <f>H53</f>
        <v>0.11975966398533799</v>
      </c>
      <c r="I54" s="12">
        <f>I53</f>
        <v>9.2618329018866907E-2</v>
      </c>
      <c r="J54" s="27">
        <f>J53</f>
        <v>14</v>
      </c>
      <c r="K54" s="135" t="s">
        <v>333</v>
      </c>
      <c r="P54" s="115"/>
      <c r="Q54" s="11"/>
      <c r="R54" s="11"/>
    </row>
    <row r="55" spans="2:18">
      <c r="J55" s="76"/>
      <c r="K55" s="76"/>
    </row>
    <row r="56" spans="2:18">
      <c r="B56" s="455" t="str">
        <f>B20</f>
        <v>长安航空</v>
      </c>
      <c r="C56" s="116">
        <f>C21</f>
        <v>42369</v>
      </c>
      <c r="D56" s="12">
        <f>J21/(G21+G20)*2</f>
        <v>5.408712538935103E-2</v>
      </c>
      <c r="E56" s="12">
        <f>J21/(E21+E20)*2</f>
        <v>2.5916414396209876E-2</v>
      </c>
      <c r="F56" s="12">
        <f>I21/H21</f>
        <v>0.11782011309975084</v>
      </c>
      <c r="G56" s="93">
        <f>F21/E21</f>
        <v>0.47951182151550659</v>
      </c>
      <c r="H56" s="32"/>
      <c r="I56" s="32"/>
      <c r="J56" s="128"/>
      <c r="K56" s="128"/>
      <c r="P56" s="115"/>
      <c r="Q56" s="11"/>
      <c r="R56" s="11"/>
    </row>
    <row r="57" spans="2:18">
      <c r="B57" s="455"/>
      <c r="C57" s="116">
        <f>C22</f>
        <v>42735</v>
      </c>
      <c r="D57" s="12">
        <f>J22/(G22+G21)*2</f>
        <v>1.0896399520245993E-2</v>
      </c>
      <c r="E57" s="12">
        <f>J22/(E22+E21)*2</f>
        <v>6.5859855605389173E-3</v>
      </c>
      <c r="F57" s="12">
        <f>I22/H22</f>
        <v>5.945485619702099E-2</v>
      </c>
      <c r="G57" s="93">
        <f>F22/E22</f>
        <v>0.32272214063793553</v>
      </c>
      <c r="H57" s="32"/>
      <c r="I57" s="32"/>
      <c r="J57" s="128"/>
      <c r="K57" s="128"/>
      <c r="P57" s="115"/>
      <c r="Q57" s="11"/>
      <c r="R57" s="11"/>
    </row>
    <row r="58" spans="2:18">
      <c r="B58" s="455"/>
      <c r="C58" s="116">
        <f>C23</f>
        <v>43100</v>
      </c>
      <c r="D58" s="12">
        <f>J23/(G23+G22)*2</f>
        <v>3.7745578133363809E-3</v>
      </c>
      <c r="E58" s="12">
        <f>J23/(E23+E22)*2</f>
        <v>2.498860281960899E-3</v>
      </c>
      <c r="F58" s="12">
        <f>I23/H23</f>
        <v>2.1294995316766076E-2</v>
      </c>
      <c r="G58" s="93">
        <f>F23/E23</f>
        <v>0.35247689571561752</v>
      </c>
      <c r="H58" s="12">
        <f>(H23/H20)^(1/3)-1</f>
        <v>-0.20764478879359693</v>
      </c>
      <c r="I58" s="12">
        <f>(I23/I20)^(1/3)-1</f>
        <v>-0.51135446957243436</v>
      </c>
      <c r="J58" s="27">
        <v>8</v>
      </c>
      <c r="K58" s="27"/>
      <c r="P58" s="115"/>
      <c r="Q58" s="11"/>
      <c r="R58" s="11"/>
    </row>
    <row r="59" spans="2:18">
      <c r="B59" s="455"/>
      <c r="C59" s="116" t="s">
        <v>251</v>
      </c>
      <c r="D59" s="93">
        <f>AVERAGE(D56:D58)</f>
        <v>2.291936090764447E-2</v>
      </c>
      <c r="E59" s="93">
        <f>AVERAGE(E56:E58)</f>
        <v>1.1667086746236564E-2</v>
      </c>
      <c r="F59" s="93">
        <f>AVERAGE(F56:F58)</f>
        <v>6.6189988204512634E-2</v>
      </c>
      <c r="G59" s="93">
        <f>AVERAGE(G56:G58)</f>
        <v>0.38490361928968658</v>
      </c>
      <c r="H59" s="12">
        <f>H58</f>
        <v>-0.20764478879359693</v>
      </c>
      <c r="I59" s="12">
        <f>I58</f>
        <v>-0.51135446957243436</v>
      </c>
      <c r="J59" s="27">
        <f>J58</f>
        <v>8</v>
      </c>
      <c r="K59" s="135" t="s">
        <v>334</v>
      </c>
      <c r="P59" s="115"/>
      <c r="Q59" s="11"/>
      <c r="R59" s="11"/>
    </row>
    <row r="60" spans="2:18">
      <c r="B60" s="120"/>
      <c r="C60" s="117"/>
      <c r="D60" s="118"/>
      <c r="E60" s="118"/>
      <c r="F60" s="118"/>
      <c r="G60" s="118"/>
      <c r="H60" s="118"/>
      <c r="I60" s="118"/>
      <c r="J60" s="76"/>
      <c r="K60" s="76"/>
      <c r="P60" s="115"/>
      <c r="Q60" s="11"/>
      <c r="R60" s="11"/>
    </row>
    <row r="61" spans="2:18">
      <c r="B61" s="455" t="str">
        <f>B25</f>
        <v>新华航空</v>
      </c>
      <c r="C61" s="116">
        <f>C25</f>
        <v>42735</v>
      </c>
      <c r="D61" s="12">
        <f>J25/G25</f>
        <v>3.4929655670485761E-2</v>
      </c>
      <c r="E61" s="12">
        <f>J25/E25</f>
        <v>2.8624956153442786E-2</v>
      </c>
      <c r="F61" s="12">
        <f>I25/H25</f>
        <v>0.10113745188303586</v>
      </c>
      <c r="G61" s="93">
        <f>F25/E25</f>
        <v>0.18049704172635764</v>
      </c>
      <c r="H61" s="32"/>
      <c r="I61" s="32"/>
      <c r="J61" s="128"/>
      <c r="K61" s="128"/>
      <c r="P61" s="32"/>
      <c r="Q61" s="32"/>
      <c r="R61" s="32"/>
    </row>
    <row r="62" spans="2:18">
      <c r="B62" s="455"/>
      <c r="C62" s="116">
        <f>C26</f>
        <v>43100</v>
      </c>
      <c r="D62" s="12">
        <f>J26/(G26+G25)*2</f>
        <v>3.0071943783543352E-2</v>
      </c>
      <c r="E62" s="12">
        <f>J26/(E26+E25)*2</f>
        <v>2.4285290544508023E-2</v>
      </c>
      <c r="F62" s="12">
        <f>I26/H26</f>
        <v>7.77981501695965E-2</v>
      </c>
      <c r="G62" s="93">
        <f>F26/E26</f>
        <v>0.2035982773166215</v>
      </c>
      <c r="H62" s="32"/>
      <c r="I62" s="12">
        <f>I26/I25-1</f>
        <v>-0.10524509027887718</v>
      </c>
      <c r="J62" s="128"/>
      <c r="K62" s="128"/>
      <c r="P62" s="32"/>
      <c r="Q62" s="32"/>
      <c r="R62" s="32"/>
    </row>
    <row r="63" spans="2:18">
      <c r="B63" s="455"/>
      <c r="C63" s="116">
        <f>C27</f>
        <v>43373</v>
      </c>
      <c r="D63" s="12">
        <f>J27/(G27+G26)*2</f>
        <v>-5.6516949342851758E-3</v>
      </c>
      <c r="E63" s="12">
        <f>J27/(E27+E26)*2</f>
        <v>-4.5244388724222963E-3</v>
      </c>
      <c r="F63" s="12">
        <f>I27/H27</f>
        <v>-1.4265704742264438E-2</v>
      </c>
      <c r="G63" s="93">
        <f>F27/E27</f>
        <v>0.19523363535688604</v>
      </c>
      <c r="H63" s="12">
        <f>(H27/0.7647/H25)^(1/2)-1</f>
        <v>9.1824570526075844E-2</v>
      </c>
      <c r="I63" s="12">
        <f>I27/9*12/I26-1</f>
        <v>-1.1916075806422575</v>
      </c>
      <c r="J63" s="27">
        <v>29</v>
      </c>
      <c r="K63" s="27"/>
      <c r="P63" s="53"/>
      <c r="Q63" s="10"/>
      <c r="R63" s="10"/>
    </row>
    <row r="64" spans="2:18">
      <c r="B64" s="455"/>
      <c r="C64" s="116" t="s">
        <v>251</v>
      </c>
      <c r="D64" s="93">
        <f>AVERAGE(D61:D63)</f>
        <v>1.9783301506581311E-2</v>
      </c>
      <c r="E64" s="93">
        <f>AVERAGE(E61:E63)</f>
        <v>1.6128602608509502E-2</v>
      </c>
      <c r="F64" s="93">
        <f>AVERAGE(F61:F63)</f>
        <v>5.4889965770122645E-2</v>
      </c>
      <c r="G64" s="93">
        <f>AVERAGE(G61:G63)</f>
        <v>0.19310965146662173</v>
      </c>
      <c r="H64" s="12">
        <f>H63</f>
        <v>9.1824570526075844E-2</v>
      </c>
      <c r="I64" s="12">
        <f>AVERAGE(I62:I63)</f>
        <v>-0.64842633546056727</v>
      </c>
      <c r="J64" s="27">
        <f>J63</f>
        <v>29</v>
      </c>
      <c r="K64" s="135" t="s">
        <v>335</v>
      </c>
      <c r="P64" s="115"/>
      <c r="Q64" s="11"/>
      <c r="R64" s="11"/>
    </row>
    <row r="66" spans="2:18">
      <c r="B66" s="455" t="str">
        <f>B29</f>
        <v>天津航空</v>
      </c>
      <c r="C66" s="116">
        <f>C29</f>
        <v>42369</v>
      </c>
      <c r="D66" s="12">
        <f>J29/G29</f>
        <v>5.238514415425026E-2</v>
      </c>
      <c r="E66" s="12">
        <f>J29/E29</f>
        <v>1.7595346959022626E-2</v>
      </c>
      <c r="F66" s="12">
        <f>I29/H29</f>
        <v>0.10360550705043932</v>
      </c>
      <c r="G66" s="93">
        <f>F29/E29</f>
        <v>0.66411570984299695</v>
      </c>
      <c r="H66" s="32"/>
      <c r="I66" s="32"/>
      <c r="J66" s="128"/>
      <c r="K66" s="128"/>
      <c r="P66" s="115"/>
      <c r="Q66" s="11"/>
      <c r="R66" s="11"/>
    </row>
    <row r="67" spans="2:18">
      <c r="B67" s="455"/>
      <c r="C67" s="116">
        <f>C30</f>
        <v>42735</v>
      </c>
      <c r="D67" s="12">
        <f>J30/(G30+G29)*2</f>
        <v>3.885380054159452E-2</v>
      </c>
      <c r="E67" s="12">
        <f>J30/(E30+E29)*2</f>
        <v>1.3599895999090377E-2</v>
      </c>
      <c r="F67" s="12">
        <f>I30/H30</f>
        <v>6.7849176012315021E-2</v>
      </c>
      <c r="G67" s="93">
        <f>F30/E30</f>
        <v>0.63730274037317347</v>
      </c>
      <c r="H67" s="32"/>
      <c r="I67" s="12"/>
      <c r="J67" s="128"/>
      <c r="K67" s="128"/>
      <c r="P67" s="115"/>
      <c r="Q67" s="11"/>
      <c r="R67" s="11"/>
    </row>
    <row r="68" spans="2:18">
      <c r="B68" s="455"/>
      <c r="C68" s="116">
        <f>C33</f>
        <v>43343</v>
      </c>
      <c r="D68" s="12">
        <f>J33/(G33+G30)*2</f>
        <v>5.1274632971667081E-2</v>
      </c>
      <c r="E68" s="12">
        <f>J33/(E33+E30)*2</f>
        <v>1.4059254484155813E-2</v>
      </c>
      <c r="F68" s="12">
        <f>I33/H33</f>
        <v>0.10909160243256928</v>
      </c>
      <c r="G68" s="93">
        <f>F33/E33</f>
        <v>0.72584749511378466</v>
      </c>
      <c r="H68" s="12">
        <f>(H33/H29)^(1/2)-1</f>
        <v>2.1168850958393826E-2</v>
      </c>
      <c r="I68" s="12">
        <f>(I33/I29)^(1/2)-1</f>
        <v>4.7856469765352738E-2</v>
      </c>
      <c r="J68" s="27">
        <v>98</v>
      </c>
      <c r="K68" s="27"/>
      <c r="P68" s="115"/>
      <c r="Q68" s="11"/>
      <c r="R68" s="11"/>
    </row>
    <row r="69" spans="2:18">
      <c r="B69" s="455"/>
      <c r="C69" s="116" t="s">
        <v>251</v>
      </c>
      <c r="D69" s="93">
        <f>AVERAGE(D66:D68)</f>
        <v>4.7504525889170625E-2</v>
      </c>
      <c r="E69" s="93">
        <f>AVERAGE(E66:E68)</f>
        <v>1.5084832480756273E-2</v>
      </c>
      <c r="F69" s="93">
        <f>AVERAGE(F66:F68)</f>
        <v>9.3515428498441203E-2</v>
      </c>
      <c r="G69" s="93">
        <f>AVERAGE(G66:G68)</f>
        <v>0.67575531510998499</v>
      </c>
      <c r="H69" s="12">
        <f>H68</f>
        <v>2.1168850958393826E-2</v>
      </c>
      <c r="I69" s="12">
        <f>AVERAGE(I67:I68)</f>
        <v>4.7856469765352738E-2</v>
      </c>
      <c r="J69" s="27">
        <f>J68</f>
        <v>98</v>
      </c>
      <c r="K69" s="135" t="s">
        <v>332</v>
      </c>
      <c r="P69" s="115"/>
      <c r="Q69" s="11"/>
      <c r="R69" s="11"/>
    </row>
    <row r="70" spans="2:18">
      <c r="B70" s="120"/>
      <c r="C70" s="117"/>
      <c r="D70" s="131"/>
      <c r="E70" s="131"/>
      <c r="F70" s="131"/>
      <c r="G70" s="131"/>
      <c r="H70" s="118"/>
      <c r="I70" s="118"/>
      <c r="J70" s="119"/>
      <c r="P70" s="115"/>
      <c r="Q70" s="11"/>
      <c r="R70" s="11"/>
    </row>
    <row r="71" spans="2:18">
      <c r="B71" s="120"/>
      <c r="C71" s="117"/>
      <c r="D71" s="131"/>
      <c r="E71" s="131"/>
      <c r="F71" s="131"/>
      <c r="G71" s="131"/>
      <c r="H71" s="118"/>
      <c r="I71" s="118"/>
      <c r="J71" s="119"/>
      <c r="P71" s="115"/>
      <c r="Q71" s="11"/>
      <c r="R71" s="11"/>
    </row>
    <row r="73" spans="2:18" ht="17.5">
      <c r="B73" s="450" t="s">
        <v>338</v>
      </c>
      <c r="C73" s="450"/>
      <c r="D73" s="450"/>
      <c r="E73" s="450"/>
      <c r="F73" s="450"/>
      <c r="G73" s="450"/>
      <c r="H73" s="450"/>
      <c r="I73" s="450"/>
      <c r="J73" s="450"/>
      <c r="K73" s="450"/>
    </row>
    <row r="74" spans="2:18" ht="26.5">
      <c r="B74" s="14" t="s">
        <v>53</v>
      </c>
      <c r="C74" s="14" t="s">
        <v>52</v>
      </c>
      <c r="D74" s="15" t="s">
        <v>50</v>
      </c>
      <c r="E74" s="15" t="s">
        <v>51</v>
      </c>
      <c r="F74" s="15" t="s">
        <v>54</v>
      </c>
      <c r="G74" s="71" t="s">
        <v>279</v>
      </c>
      <c r="H74" s="71" t="s">
        <v>280</v>
      </c>
      <c r="I74" s="71" t="s">
        <v>281</v>
      </c>
      <c r="J74" s="71" t="s">
        <v>336</v>
      </c>
      <c r="K74" s="71" t="s">
        <v>337</v>
      </c>
    </row>
    <row r="75" spans="2:18">
      <c r="B75" s="35" t="str">
        <f>B2</f>
        <v>云南祥鹏</v>
      </c>
      <c r="C75" s="32"/>
      <c r="D75" s="12">
        <f t="shared" ref="D75:J75" si="7">D49</f>
        <v>7.9584151608608253E-2</v>
      </c>
      <c r="E75" s="12">
        <f t="shared" si="7"/>
        <v>2.7386935732073191E-2</v>
      </c>
      <c r="F75" s="12">
        <f t="shared" si="7"/>
        <v>7.7915114281938799E-2</v>
      </c>
      <c r="G75" s="93">
        <f>G49</f>
        <v>0.61457163239724422</v>
      </c>
      <c r="H75" s="12">
        <f t="shared" si="7"/>
        <v>0.24261394045198714</v>
      </c>
      <c r="I75" s="12">
        <f t="shared" si="7"/>
        <v>-7.6946839439774428E-2</v>
      </c>
      <c r="J75" s="27">
        <f t="shared" si="7"/>
        <v>46</v>
      </c>
      <c r="K75" s="136" t="str">
        <f t="shared" ref="K75" si="8">K49</f>
        <v>国内国际</v>
      </c>
    </row>
    <row r="76" spans="2:18">
      <c r="B76" s="35" t="str">
        <f>B3</f>
        <v>山西航空</v>
      </c>
      <c r="C76" s="32"/>
      <c r="D76" s="12">
        <f t="shared" ref="D76:J76" si="9">D54</f>
        <v>4.7214267550728384E-2</v>
      </c>
      <c r="E76" s="12">
        <f t="shared" si="9"/>
        <v>3.2257102750160964E-2</v>
      </c>
      <c r="F76" s="12">
        <f t="shared" si="9"/>
        <v>8.8306043111831226E-2</v>
      </c>
      <c r="G76" s="93">
        <f t="shared" si="9"/>
        <v>0.31432387941130407</v>
      </c>
      <c r="H76" s="12">
        <f t="shared" si="9"/>
        <v>0.11975966398533799</v>
      </c>
      <c r="I76" s="12">
        <f t="shared" si="9"/>
        <v>9.2618329018866907E-2</v>
      </c>
      <c r="J76" s="27">
        <f t="shared" si="9"/>
        <v>14</v>
      </c>
      <c r="K76" s="136" t="str">
        <f t="shared" ref="K76" si="10">K54</f>
        <v>山西省</v>
      </c>
    </row>
    <row r="77" spans="2:18">
      <c r="B77" s="35" t="str">
        <f>B4</f>
        <v>长安航空</v>
      </c>
      <c r="C77" s="32"/>
      <c r="D77" s="12">
        <f>D59</f>
        <v>2.291936090764447E-2</v>
      </c>
      <c r="E77" s="12">
        <f t="shared" ref="E77:I77" si="11">E59</f>
        <v>1.1667086746236564E-2</v>
      </c>
      <c r="F77" s="12">
        <f t="shared" si="11"/>
        <v>6.6189988204512634E-2</v>
      </c>
      <c r="G77" s="121">
        <f t="shared" si="11"/>
        <v>0.38490361928968658</v>
      </c>
      <c r="H77" s="12">
        <f t="shared" si="11"/>
        <v>-0.20764478879359693</v>
      </c>
      <c r="I77" s="12">
        <f t="shared" si="11"/>
        <v>-0.51135446957243436</v>
      </c>
      <c r="J77" s="27">
        <f t="shared" ref="J77:K77" si="12">J59</f>
        <v>8</v>
      </c>
      <c r="K77" s="136" t="str">
        <f t="shared" si="12"/>
        <v>国内</v>
      </c>
    </row>
    <row r="78" spans="2:18">
      <c r="B78" s="35" t="str">
        <f>B5</f>
        <v>新华航空</v>
      </c>
      <c r="C78" s="32"/>
      <c r="D78" s="12">
        <f t="shared" ref="D78:I78" si="13">D64</f>
        <v>1.9783301506581311E-2</v>
      </c>
      <c r="E78" s="12">
        <f t="shared" si="13"/>
        <v>1.6128602608509502E-2</v>
      </c>
      <c r="F78" s="12">
        <f t="shared" si="13"/>
        <v>5.4889965770122645E-2</v>
      </c>
      <c r="G78" s="93">
        <f t="shared" si="13"/>
        <v>0.19310965146662173</v>
      </c>
      <c r="H78" s="12">
        <f t="shared" si="13"/>
        <v>9.1824570526075844E-2</v>
      </c>
      <c r="I78" s="12">
        <f t="shared" si="13"/>
        <v>-0.64842633546056727</v>
      </c>
      <c r="J78" s="27">
        <v>40</v>
      </c>
      <c r="K78" s="136" t="str">
        <f t="shared" ref="K78" si="14">K64</f>
        <v>天津北京</v>
      </c>
    </row>
    <row r="79" spans="2:18">
      <c r="B79" s="35" t="str">
        <f>B66</f>
        <v>天津航空</v>
      </c>
      <c r="C79" s="32"/>
      <c r="D79" s="12">
        <f t="shared" ref="D79:J79" si="15">D69</f>
        <v>4.7504525889170625E-2</v>
      </c>
      <c r="E79" s="12">
        <f t="shared" si="15"/>
        <v>1.5084832480756273E-2</v>
      </c>
      <c r="F79" s="12">
        <f t="shared" si="15"/>
        <v>9.3515428498441203E-2</v>
      </c>
      <c r="G79" s="121">
        <f t="shared" si="15"/>
        <v>0.67575531510998499</v>
      </c>
      <c r="H79" s="12">
        <f t="shared" si="15"/>
        <v>2.1168850958393826E-2</v>
      </c>
      <c r="I79" s="12">
        <f t="shared" si="15"/>
        <v>4.7856469765352738E-2</v>
      </c>
      <c r="J79" s="27">
        <f t="shared" si="15"/>
        <v>98</v>
      </c>
      <c r="K79" s="136" t="str">
        <f t="shared" ref="K79" si="16">K69</f>
        <v>国内国际</v>
      </c>
    </row>
    <row r="80" spans="2:18">
      <c r="B80" s="35" t="s">
        <v>319</v>
      </c>
      <c r="C80" s="32"/>
      <c r="D80" s="12">
        <f>'2-交易案例比较法'!C16</f>
        <v>9.0893812956030846</v>
      </c>
      <c r="E80" s="12">
        <f>'2-交易案例比较法'!D16</f>
        <v>1.1138726056667183</v>
      </c>
      <c r="F80" s="12">
        <f>'2-交易案例比较法'!E16</f>
        <v>36.601751105415893</v>
      </c>
      <c r="G80" s="93">
        <f>'2-交易案例比较法'!H16</f>
        <v>1.11759960990457</v>
      </c>
      <c r="H80" s="12">
        <f>'2-交易案例比较法'!K16</f>
        <v>14.365595439268475</v>
      </c>
      <c r="I80" s="12" t="e">
        <f>'2-交易案例比较法'!#REF!</f>
        <v>#REF!</v>
      </c>
      <c r="J80" s="27">
        <v>26</v>
      </c>
      <c r="K80" s="86" t="s">
        <v>332</v>
      </c>
    </row>
    <row r="81" spans="2:11">
      <c r="B81" s="83"/>
      <c r="D81" s="118"/>
      <c r="E81" s="118"/>
      <c r="F81" s="118"/>
      <c r="G81" s="131"/>
      <c r="H81" s="118"/>
      <c r="I81" s="118"/>
      <c r="J81" s="119"/>
    </row>
    <row r="82" spans="2:11" ht="15">
      <c r="B82" s="451" t="s">
        <v>339</v>
      </c>
      <c r="C82" s="451"/>
      <c r="D82" s="451"/>
      <c r="E82" s="451"/>
      <c r="F82" s="451"/>
      <c r="G82" s="451"/>
      <c r="H82" s="451"/>
      <c r="I82" s="451"/>
      <c r="J82" s="451"/>
      <c r="K82" s="451"/>
    </row>
    <row r="83" spans="2:11" ht="26.5">
      <c r="B83" s="14" t="s">
        <v>53</v>
      </c>
      <c r="C83" s="14" t="s">
        <v>52</v>
      </c>
      <c r="D83" s="15" t="s">
        <v>50</v>
      </c>
      <c r="E83" s="15" t="s">
        <v>51</v>
      </c>
      <c r="F83" s="15" t="s">
        <v>54</v>
      </c>
      <c r="G83" s="71" t="s">
        <v>279</v>
      </c>
      <c r="H83" s="71" t="s">
        <v>280</v>
      </c>
      <c r="I83" s="71" t="s">
        <v>281</v>
      </c>
      <c r="J83" s="71" t="s">
        <v>336</v>
      </c>
      <c r="K83" s="71" t="s">
        <v>337</v>
      </c>
    </row>
    <row r="84" spans="2:11">
      <c r="B84" s="35" t="str">
        <f t="shared" ref="B84:B89" si="17">B75</f>
        <v>云南祥鹏</v>
      </c>
      <c r="C84" s="32"/>
      <c r="D84" s="137" t="s">
        <v>289</v>
      </c>
      <c r="E84" s="137" t="s">
        <v>287</v>
      </c>
      <c r="F84" s="137" t="s">
        <v>291</v>
      </c>
      <c r="G84" s="138" t="s">
        <v>291</v>
      </c>
      <c r="H84" s="137" t="s">
        <v>289</v>
      </c>
      <c r="I84" s="137" t="s">
        <v>288</v>
      </c>
      <c r="J84" s="88" t="s">
        <v>291</v>
      </c>
      <c r="K84" s="86" t="s">
        <v>289</v>
      </c>
    </row>
    <row r="85" spans="2:11">
      <c r="B85" s="35" t="str">
        <f t="shared" si="17"/>
        <v>山西航空</v>
      </c>
      <c r="C85" s="32"/>
      <c r="D85" s="137" t="s">
        <v>291</v>
      </c>
      <c r="E85" s="137" t="s">
        <v>291</v>
      </c>
      <c r="F85" s="137" t="s">
        <v>291</v>
      </c>
      <c r="G85" s="138" t="s">
        <v>340</v>
      </c>
      <c r="H85" s="137" t="s">
        <v>287</v>
      </c>
      <c r="I85" s="137" t="s">
        <v>287</v>
      </c>
      <c r="J85" s="88" t="s">
        <v>340</v>
      </c>
      <c r="K85" s="86" t="s">
        <v>341</v>
      </c>
    </row>
    <row r="86" spans="2:11">
      <c r="B86" s="35" t="str">
        <f t="shared" si="17"/>
        <v>长安航空</v>
      </c>
      <c r="C86" s="32"/>
      <c r="D86" s="137" t="s">
        <v>287</v>
      </c>
      <c r="E86" s="137" t="s">
        <v>287</v>
      </c>
      <c r="F86" s="137" t="s">
        <v>287</v>
      </c>
      <c r="G86" s="138" t="s">
        <v>340</v>
      </c>
      <c r="H86" s="137" t="s">
        <v>341</v>
      </c>
      <c r="I86" s="137" t="s">
        <v>290</v>
      </c>
      <c r="J86" s="88" t="s">
        <v>340</v>
      </c>
      <c r="K86" s="86" t="s">
        <v>287</v>
      </c>
    </row>
    <row r="87" spans="2:11">
      <c r="B87" s="35" t="str">
        <f t="shared" si="17"/>
        <v>新华航空</v>
      </c>
      <c r="C87" s="32"/>
      <c r="D87" s="137" t="s">
        <v>287</v>
      </c>
      <c r="E87" s="137" t="s">
        <v>287</v>
      </c>
      <c r="F87" s="137" t="s">
        <v>287</v>
      </c>
      <c r="G87" s="138" t="s">
        <v>340</v>
      </c>
      <c r="H87" s="137" t="s">
        <v>287</v>
      </c>
      <c r="I87" s="137" t="s">
        <v>290</v>
      </c>
      <c r="J87" s="88" t="s">
        <v>291</v>
      </c>
      <c r="K87" s="86" t="s">
        <v>340</v>
      </c>
    </row>
    <row r="88" spans="2:11">
      <c r="B88" s="35" t="str">
        <f t="shared" si="17"/>
        <v>天津航空</v>
      </c>
      <c r="C88" s="32"/>
      <c r="D88" s="137" t="s">
        <v>291</v>
      </c>
      <c r="E88" s="137" t="s">
        <v>287</v>
      </c>
      <c r="F88" s="137" t="s">
        <v>291</v>
      </c>
      <c r="G88" s="138" t="s">
        <v>291</v>
      </c>
      <c r="H88" s="137" t="s">
        <v>291</v>
      </c>
      <c r="I88" s="137" t="s">
        <v>288</v>
      </c>
      <c r="J88" s="88" t="s">
        <v>289</v>
      </c>
      <c r="K88" s="86" t="s">
        <v>289</v>
      </c>
    </row>
    <row r="89" spans="2:11">
      <c r="B89" s="35" t="str">
        <f t="shared" si="17"/>
        <v>金鹏航空</v>
      </c>
      <c r="C89" s="32"/>
      <c r="D89" s="137" t="s">
        <v>340</v>
      </c>
      <c r="E89" s="137" t="s">
        <v>340</v>
      </c>
      <c r="F89" s="137" t="s">
        <v>341</v>
      </c>
      <c r="G89" s="138" t="s">
        <v>291</v>
      </c>
      <c r="H89" s="137" t="s">
        <v>289</v>
      </c>
      <c r="I89" s="137" t="s">
        <v>290</v>
      </c>
      <c r="J89" s="88" t="s">
        <v>287</v>
      </c>
      <c r="K89" s="86" t="s">
        <v>291</v>
      </c>
    </row>
    <row r="90" spans="2:11">
      <c r="B90" s="83"/>
      <c r="D90" s="139"/>
      <c r="E90" s="139"/>
      <c r="F90" s="139"/>
      <c r="G90" s="140"/>
      <c r="H90" s="139"/>
      <c r="I90" s="139"/>
      <c r="J90" s="141"/>
      <c r="K90" s="89"/>
    </row>
    <row r="92" spans="2:11" ht="26.5">
      <c r="B92" s="14" t="s">
        <v>53</v>
      </c>
      <c r="C92" s="14" t="s">
        <v>52</v>
      </c>
      <c r="D92" s="15" t="s">
        <v>50</v>
      </c>
      <c r="E92" s="15" t="s">
        <v>51</v>
      </c>
      <c r="F92" s="15" t="s">
        <v>54</v>
      </c>
      <c r="G92" s="71" t="s">
        <v>279</v>
      </c>
      <c r="H92" s="71" t="s">
        <v>280</v>
      </c>
      <c r="I92" s="71" t="s">
        <v>281</v>
      </c>
      <c r="J92" s="71" t="s">
        <v>336</v>
      </c>
      <c r="K92" s="71" t="s">
        <v>337</v>
      </c>
    </row>
    <row r="93" spans="2:11">
      <c r="B93" s="35" t="str">
        <f t="shared" ref="B93:B98" si="18">B75</f>
        <v>云南祥鹏</v>
      </c>
      <c r="C93" s="32"/>
      <c r="D93" s="122">
        <v>104</v>
      </c>
      <c r="E93" s="122">
        <v>101</v>
      </c>
      <c r="F93" s="122">
        <v>103</v>
      </c>
      <c r="G93" s="123">
        <v>100</v>
      </c>
      <c r="H93" s="122">
        <v>100</v>
      </c>
      <c r="I93" s="122">
        <v>102</v>
      </c>
      <c r="J93" s="122">
        <v>102</v>
      </c>
      <c r="K93" s="122">
        <v>102</v>
      </c>
    </row>
    <row r="94" spans="2:11">
      <c r="B94" s="35" t="str">
        <f t="shared" si="18"/>
        <v>山西航空</v>
      </c>
      <c r="C94" s="32"/>
      <c r="D94" s="122">
        <v>102</v>
      </c>
      <c r="E94" s="122">
        <v>102</v>
      </c>
      <c r="F94" s="122">
        <v>103</v>
      </c>
      <c r="G94" s="123">
        <v>98</v>
      </c>
      <c r="H94" s="122">
        <v>96</v>
      </c>
      <c r="I94" s="122">
        <v>106</v>
      </c>
      <c r="J94" s="122">
        <v>98</v>
      </c>
      <c r="K94" s="122">
        <v>94</v>
      </c>
    </row>
    <row r="95" spans="2:11">
      <c r="B95" s="35" t="str">
        <f t="shared" si="18"/>
        <v>长安航空</v>
      </c>
      <c r="C95" s="32"/>
      <c r="D95" s="122">
        <v>101</v>
      </c>
      <c r="E95" s="122">
        <v>101</v>
      </c>
      <c r="F95" s="122">
        <v>102</v>
      </c>
      <c r="G95" s="123">
        <v>98</v>
      </c>
      <c r="H95" s="122">
        <v>94</v>
      </c>
      <c r="I95" s="122">
        <v>100</v>
      </c>
      <c r="J95" s="122">
        <v>98</v>
      </c>
      <c r="K95" s="122">
        <v>98</v>
      </c>
    </row>
    <row r="96" spans="2:11">
      <c r="B96" s="35" t="str">
        <f t="shared" si="18"/>
        <v>新华航空</v>
      </c>
      <c r="C96" s="32"/>
      <c r="D96" s="122">
        <v>101</v>
      </c>
      <c r="E96" s="122">
        <v>101</v>
      </c>
      <c r="F96" s="122">
        <v>102</v>
      </c>
      <c r="G96" s="123">
        <v>98</v>
      </c>
      <c r="H96" s="122">
        <v>96</v>
      </c>
      <c r="I96" s="122">
        <v>100</v>
      </c>
      <c r="J96" s="122">
        <v>102</v>
      </c>
      <c r="K96" s="122">
        <v>96</v>
      </c>
    </row>
    <row r="97" spans="2:16">
      <c r="B97" s="35" t="str">
        <f t="shared" si="18"/>
        <v>天津航空</v>
      </c>
      <c r="C97" s="32"/>
      <c r="D97" s="122">
        <v>102</v>
      </c>
      <c r="E97" s="122">
        <v>101</v>
      </c>
      <c r="F97" s="122">
        <v>103</v>
      </c>
      <c r="G97" s="123">
        <v>100</v>
      </c>
      <c r="H97" s="122">
        <v>98</v>
      </c>
      <c r="I97" s="122">
        <v>102</v>
      </c>
      <c r="J97" s="122">
        <v>104</v>
      </c>
      <c r="K97" s="122">
        <v>102</v>
      </c>
    </row>
    <row r="98" spans="2:16">
      <c r="B98" s="35" t="str">
        <f t="shared" si="18"/>
        <v>金鹏航空</v>
      </c>
      <c r="C98" s="32"/>
      <c r="D98" s="122">
        <v>100</v>
      </c>
      <c r="E98" s="122">
        <v>100</v>
      </c>
      <c r="F98" s="122">
        <v>100</v>
      </c>
      <c r="G98" s="123">
        <v>100</v>
      </c>
      <c r="H98" s="122">
        <v>100</v>
      </c>
      <c r="I98" s="122">
        <v>100</v>
      </c>
      <c r="J98" s="122">
        <v>100</v>
      </c>
      <c r="K98" s="122">
        <v>100</v>
      </c>
    </row>
    <row r="100" spans="2:16" ht="26.5">
      <c r="B100" s="14" t="s">
        <v>53</v>
      </c>
      <c r="C100" s="14" t="s">
        <v>52</v>
      </c>
      <c r="D100" s="15" t="s">
        <v>50</v>
      </c>
      <c r="E100" s="15" t="s">
        <v>51</v>
      </c>
      <c r="F100" s="15" t="s">
        <v>54</v>
      </c>
      <c r="G100" s="71" t="s">
        <v>279</v>
      </c>
      <c r="H100" s="71" t="s">
        <v>280</v>
      </c>
      <c r="I100" s="71" t="s">
        <v>281</v>
      </c>
      <c r="J100" s="71" t="s">
        <v>336</v>
      </c>
      <c r="K100" s="71" t="s">
        <v>337</v>
      </c>
      <c r="L100" s="125" t="s">
        <v>320</v>
      </c>
      <c r="M100" s="125" t="s">
        <v>0</v>
      </c>
      <c r="N100" s="125" t="s">
        <v>321</v>
      </c>
      <c r="O100" s="125" t="s">
        <v>301</v>
      </c>
      <c r="P100" s="125" t="s">
        <v>322</v>
      </c>
    </row>
    <row r="101" spans="2:16">
      <c r="B101" s="35" t="str">
        <f t="shared" ref="B101:B106" si="19">B93</f>
        <v>云南祥鹏</v>
      </c>
      <c r="C101" s="32"/>
      <c r="D101" s="124">
        <f t="shared" ref="D101:D106" si="20">ROUND(D$98/D93,4)</f>
        <v>0.96150000000000002</v>
      </c>
      <c r="E101" s="124">
        <f t="shared" ref="E101:I101" si="21">ROUND(E$98/E93,4)</f>
        <v>0.99009999999999998</v>
      </c>
      <c r="F101" s="124">
        <f t="shared" si="21"/>
        <v>0.97089999999999999</v>
      </c>
      <c r="G101" s="124">
        <f t="shared" si="21"/>
        <v>1</v>
      </c>
      <c r="H101" s="124">
        <f t="shared" si="21"/>
        <v>1</v>
      </c>
      <c r="I101" s="124">
        <f t="shared" si="21"/>
        <v>0.98040000000000005</v>
      </c>
      <c r="J101" s="124">
        <f t="shared" ref="J101:K105" si="22">ROUND(J$98/J93,4)</f>
        <v>0.98040000000000005</v>
      </c>
      <c r="K101" s="124">
        <f t="shared" si="22"/>
        <v>0.98040000000000005</v>
      </c>
      <c r="L101" s="125">
        <f t="shared" ref="L101:L106" si="23">PRODUCT(D101:K101)</f>
        <v>0.87098917591690506</v>
      </c>
      <c r="M101" s="125">
        <f>L2</f>
        <v>1.0875521136667514</v>
      </c>
      <c r="N101" s="125">
        <f>M101*L101</f>
        <v>0.94724611924929203</v>
      </c>
      <c r="O101" s="125">
        <f>M2</f>
        <v>1.4571968690111228</v>
      </c>
      <c r="P101" s="125">
        <f>O101*L101</f>
        <v>1.2692027000886921</v>
      </c>
    </row>
    <row r="102" spans="2:16">
      <c r="B102" s="35" t="str">
        <f t="shared" si="19"/>
        <v>山西航空</v>
      </c>
      <c r="C102" s="32"/>
      <c r="D102" s="124">
        <f t="shared" si="20"/>
        <v>0.98040000000000005</v>
      </c>
      <c r="E102" s="124">
        <f t="shared" ref="E102:I102" si="24">ROUND(E$98/E94,4)</f>
        <v>0.98040000000000005</v>
      </c>
      <c r="F102" s="124">
        <f t="shared" si="24"/>
        <v>0.97089999999999999</v>
      </c>
      <c r="G102" s="124">
        <f t="shared" si="24"/>
        <v>1.0204</v>
      </c>
      <c r="H102" s="124">
        <f t="shared" si="24"/>
        <v>1.0417000000000001</v>
      </c>
      <c r="I102" s="124">
        <f t="shared" si="24"/>
        <v>0.94340000000000002</v>
      </c>
      <c r="J102" s="124">
        <f t="shared" si="22"/>
        <v>1.0204</v>
      </c>
      <c r="K102" s="124">
        <f t="shared" si="22"/>
        <v>1.0638000000000001</v>
      </c>
      <c r="L102" s="125">
        <f t="shared" si="23"/>
        <v>1.0158288157353033</v>
      </c>
      <c r="M102" s="125">
        <f>L3</f>
        <v>0</v>
      </c>
      <c r="N102" s="125">
        <f>M102*L102</f>
        <v>0</v>
      </c>
      <c r="O102" s="125">
        <f>M3</f>
        <v>0</v>
      </c>
      <c r="P102" s="125">
        <f>O102*L102</f>
        <v>0</v>
      </c>
    </row>
    <row r="103" spans="2:16">
      <c r="B103" s="35" t="str">
        <f t="shared" si="19"/>
        <v>长安航空</v>
      </c>
      <c r="C103" s="32"/>
      <c r="D103" s="124">
        <f t="shared" si="20"/>
        <v>0.99009999999999998</v>
      </c>
      <c r="E103" s="124">
        <f t="shared" ref="E103:I105" si="25">ROUND(E$98/E95,4)</f>
        <v>0.99009999999999998</v>
      </c>
      <c r="F103" s="124">
        <f t="shared" si="25"/>
        <v>0.98040000000000005</v>
      </c>
      <c r="G103" s="124">
        <f t="shared" si="25"/>
        <v>1.0204</v>
      </c>
      <c r="H103" s="124">
        <f t="shared" si="25"/>
        <v>1.0638000000000001</v>
      </c>
      <c r="I103" s="124">
        <f t="shared" si="25"/>
        <v>1</v>
      </c>
      <c r="J103" s="124">
        <f t="shared" si="22"/>
        <v>1.0204</v>
      </c>
      <c r="K103" s="124">
        <f t="shared" si="22"/>
        <v>1.0204</v>
      </c>
      <c r="L103" s="125">
        <f t="shared" si="23"/>
        <v>1.0862574283999653</v>
      </c>
      <c r="M103" s="125">
        <f>L4</f>
        <v>1.2029498578434494</v>
      </c>
      <c r="N103" s="125">
        <f>M103*L103</f>
        <v>1.3067132190751292</v>
      </c>
      <c r="O103" s="125">
        <f>M4</f>
        <v>7.0134761935450047</v>
      </c>
      <c r="P103" s="125"/>
    </row>
    <row r="104" spans="2:16">
      <c r="B104" s="35" t="str">
        <f t="shared" si="19"/>
        <v>新华航空</v>
      </c>
      <c r="C104" s="32"/>
      <c r="D104" s="124">
        <f t="shared" si="20"/>
        <v>0.99009999999999998</v>
      </c>
      <c r="E104" s="124">
        <f t="shared" si="25"/>
        <v>0.99009999999999998</v>
      </c>
      <c r="F104" s="124">
        <f t="shared" si="25"/>
        <v>0.98040000000000005</v>
      </c>
      <c r="G104" s="124">
        <f t="shared" si="25"/>
        <v>1.0204</v>
      </c>
      <c r="H104" s="124">
        <f t="shared" si="25"/>
        <v>1.0417000000000001</v>
      </c>
      <c r="I104" s="124">
        <f t="shared" si="25"/>
        <v>1</v>
      </c>
      <c r="J104" s="124">
        <f t="shared" si="22"/>
        <v>0.98040000000000005</v>
      </c>
      <c r="K104" s="124">
        <f t="shared" si="22"/>
        <v>1.0417000000000001</v>
      </c>
      <c r="L104" s="125">
        <f t="shared" si="23"/>
        <v>1.0433271391384822</v>
      </c>
      <c r="M104" s="125">
        <f>L5</f>
        <v>0</v>
      </c>
      <c r="N104" s="125">
        <f>M104*L104</f>
        <v>0</v>
      </c>
      <c r="O104" s="125">
        <f>M5</f>
        <v>0</v>
      </c>
      <c r="P104" s="125">
        <f t="shared" ref="P104" si="26">O104*L104</f>
        <v>0</v>
      </c>
    </row>
    <row r="105" spans="2:16">
      <c r="B105" s="35" t="str">
        <f t="shared" si="19"/>
        <v>天津航空</v>
      </c>
      <c r="C105" s="32"/>
      <c r="D105" s="124">
        <f t="shared" si="20"/>
        <v>0.98040000000000005</v>
      </c>
      <c r="E105" s="124">
        <f t="shared" si="25"/>
        <v>0.99009999999999998</v>
      </c>
      <c r="F105" s="124">
        <f t="shared" si="25"/>
        <v>0.97089999999999999</v>
      </c>
      <c r="G105" s="124">
        <f t="shared" si="25"/>
        <v>1</v>
      </c>
      <c r="H105" s="124">
        <f t="shared" si="25"/>
        <v>1.0204</v>
      </c>
      <c r="I105" s="124">
        <f t="shared" si="25"/>
        <v>0.98040000000000005</v>
      </c>
      <c r="J105" s="124">
        <f t="shared" si="22"/>
        <v>0.96150000000000002</v>
      </c>
      <c r="K105" s="124">
        <f t="shared" si="22"/>
        <v>0.98040000000000005</v>
      </c>
      <c r="L105" s="125">
        <f t="shared" si="23"/>
        <v>0.88875735510560983</v>
      </c>
      <c r="M105" s="125">
        <f>L6</f>
        <v>1.2567404431148501</v>
      </c>
      <c r="N105" s="125">
        <f>M105*L105</f>
        <v>1.1169373122770063</v>
      </c>
      <c r="O105" s="125">
        <f>M6</f>
        <v>1.7839094262016495</v>
      </c>
      <c r="P105" s="125">
        <f t="shared" ref="P105" si="27">O105*L105</f>
        <v>1.5854626233789442</v>
      </c>
    </row>
    <row r="106" spans="2:16">
      <c r="B106" s="35" t="str">
        <f t="shared" si="19"/>
        <v>金鹏航空</v>
      </c>
      <c r="C106" s="32"/>
      <c r="D106" s="124">
        <f t="shared" si="20"/>
        <v>1</v>
      </c>
      <c r="E106" s="124">
        <f t="shared" ref="E106:I106" si="28">ROUND(E$98/E98,4)</f>
        <v>1</v>
      </c>
      <c r="F106" s="124">
        <f t="shared" si="28"/>
        <v>1</v>
      </c>
      <c r="G106" s="124">
        <f t="shared" si="28"/>
        <v>1</v>
      </c>
      <c r="H106" s="124">
        <f t="shared" si="28"/>
        <v>1</v>
      </c>
      <c r="I106" s="124">
        <f t="shared" si="28"/>
        <v>1</v>
      </c>
      <c r="J106" s="124">
        <f t="shared" ref="J106:K106" si="29">ROUND(J$98/J98,4)</f>
        <v>1</v>
      </c>
      <c r="K106" s="124">
        <f t="shared" si="29"/>
        <v>1</v>
      </c>
      <c r="L106" s="125">
        <f t="shared" si="23"/>
        <v>1</v>
      </c>
      <c r="M106" s="125">
        <f>AVERAGE(M101:M105)</f>
        <v>0.70944848292501028</v>
      </c>
      <c r="N106" s="126">
        <f>AVERAGE(N101:N105)</f>
        <v>0.67417933012028541</v>
      </c>
      <c r="O106" s="125">
        <f>AVERAGE(O101:O105)</f>
        <v>2.0509164977515555</v>
      </c>
      <c r="P106" s="126">
        <f>AVERAGE(P101:P105)</f>
        <v>0.71366633086690912</v>
      </c>
    </row>
    <row r="108" spans="2:16">
      <c r="M108" s="127" t="e">
        <f>#REF!-103006.220879</f>
        <v>#REF!</v>
      </c>
      <c r="N108" s="127"/>
      <c r="O108" s="127">
        <f>标的公司IS!F5</f>
        <v>0</v>
      </c>
    </row>
    <row r="109" spans="2:16">
      <c r="M109" s="127"/>
      <c r="N109" s="127"/>
      <c r="O109" s="127"/>
    </row>
    <row r="110" spans="2:16">
      <c r="M110" s="127" t="e">
        <f>N106*M108</f>
        <v>#REF!</v>
      </c>
      <c r="N110" s="127"/>
      <c r="O110" s="127">
        <f>P106*O108</f>
        <v>0</v>
      </c>
    </row>
    <row r="111" spans="2:16">
      <c r="M111" s="127"/>
      <c r="N111" s="148" t="e">
        <f>AVERAGE(M110:O110)</f>
        <v>#REF!</v>
      </c>
      <c r="O111" s="127"/>
    </row>
    <row r="112" spans="2:16">
      <c r="M112" s="127"/>
      <c r="N112" s="127"/>
      <c r="O112" s="127"/>
    </row>
    <row r="113" spans="12:15">
      <c r="M113" s="127" t="e">
        <f>M110*1.16</f>
        <v>#REF!</v>
      </c>
      <c r="N113" s="127" t="e">
        <f>N111*1.15</f>
        <v>#REF!</v>
      </c>
      <c r="O113" s="127"/>
    </row>
    <row r="114" spans="12:15">
      <c r="L114" s="52"/>
    </row>
  </sheetData>
  <mergeCells count="14">
    <mergeCell ref="B73:K73"/>
    <mergeCell ref="B82:K82"/>
    <mergeCell ref="B29:B33"/>
    <mergeCell ref="B12:B14"/>
    <mergeCell ref="B16:B18"/>
    <mergeCell ref="B20:B23"/>
    <mergeCell ref="B25:B27"/>
    <mergeCell ref="B66:B69"/>
    <mergeCell ref="B46:B49"/>
    <mergeCell ref="B51:B54"/>
    <mergeCell ref="B61:B64"/>
    <mergeCell ref="B56:B59"/>
    <mergeCell ref="B35:B37"/>
    <mergeCell ref="B40:B42"/>
  </mergeCells>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93C4-9707-45DA-8ED1-439AAA281EF4}">
  <dimension ref="A1:R36"/>
  <sheetViews>
    <sheetView topLeftCell="A7" workbookViewId="0">
      <selection activeCell="L13" sqref="L13"/>
    </sheetView>
  </sheetViews>
  <sheetFormatPr defaultRowHeight="15.5"/>
  <cols>
    <col min="1" max="1" width="4.7265625" style="161" customWidth="1"/>
    <col min="2" max="2" width="9" style="161"/>
    <col min="3" max="3" width="28.08984375" style="161" customWidth="1"/>
    <col min="4" max="6" width="16.26953125" style="161" hidden="1" customWidth="1"/>
    <col min="7" max="9" width="18.90625" style="161" customWidth="1"/>
    <col min="10" max="10" width="11.08984375" style="161" bestFit="1" customWidth="1"/>
    <col min="11" max="11" width="14.90625" style="161" customWidth="1"/>
    <col min="12" max="12" width="13.90625" style="161" bestFit="1" customWidth="1"/>
    <col min="13" max="15" width="9" style="161"/>
    <col min="16" max="17" width="12.90625" style="161" customWidth="1"/>
    <col min="18" max="18" width="17.7265625" style="161" customWidth="1"/>
    <col min="19" max="230" width="9" style="161"/>
    <col min="231" max="231" width="4.7265625" style="161" customWidth="1"/>
    <col min="232" max="232" width="8" style="161" bestFit="1" customWidth="1"/>
    <col min="233" max="233" width="20.26953125" style="161" customWidth="1"/>
    <col min="234" max="240" width="11.7265625" style="161" customWidth="1"/>
    <col min="241" max="241" width="13.90625" style="161" customWidth="1"/>
    <col min="242" max="243" width="11.7265625" style="161" customWidth="1"/>
    <col min="244" max="256" width="9" style="161"/>
    <col min="257" max="257" width="4.7265625" style="161" customWidth="1"/>
    <col min="258" max="258" width="9" style="161"/>
    <col min="259" max="259" width="28.08984375" style="161" customWidth="1"/>
    <col min="260" max="262" width="0" style="161" hidden="1" customWidth="1"/>
    <col min="263" max="265" width="18.90625" style="161" customWidth="1"/>
    <col min="266" max="266" width="11.08984375" style="161" bestFit="1" customWidth="1"/>
    <col min="267" max="267" width="14.90625" style="161" customWidth="1"/>
    <col min="268" max="268" width="13.90625" style="161" bestFit="1" customWidth="1"/>
    <col min="269" max="271" width="9" style="161"/>
    <col min="272" max="273" width="12.90625" style="161" customWidth="1"/>
    <col min="274" max="274" width="17.7265625" style="161" customWidth="1"/>
    <col min="275" max="486" width="9" style="161"/>
    <col min="487" max="487" width="4.7265625" style="161" customWidth="1"/>
    <col min="488" max="488" width="8" style="161" bestFit="1" customWidth="1"/>
    <col min="489" max="489" width="20.26953125" style="161" customWidth="1"/>
    <col min="490" max="496" width="11.7265625" style="161" customWidth="1"/>
    <col min="497" max="497" width="13.90625" style="161" customWidth="1"/>
    <col min="498" max="499" width="11.7265625" style="161" customWidth="1"/>
    <col min="500" max="512" width="9" style="161"/>
    <col min="513" max="513" width="4.7265625" style="161" customWidth="1"/>
    <col min="514" max="514" width="9" style="161"/>
    <col min="515" max="515" width="28.08984375" style="161" customWidth="1"/>
    <col min="516" max="518" width="0" style="161" hidden="1" customWidth="1"/>
    <col min="519" max="521" width="18.90625" style="161" customWidth="1"/>
    <col min="522" max="522" width="11.08984375" style="161" bestFit="1" customWidth="1"/>
    <col min="523" max="523" width="14.90625" style="161" customWidth="1"/>
    <col min="524" max="524" width="13.90625" style="161" bestFit="1" customWidth="1"/>
    <col min="525" max="527" width="9" style="161"/>
    <col min="528" max="529" width="12.90625" style="161" customWidth="1"/>
    <col min="530" max="530" width="17.7265625" style="161" customWidth="1"/>
    <col min="531" max="742" width="9" style="161"/>
    <col min="743" max="743" width="4.7265625" style="161" customWidth="1"/>
    <col min="744" max="744" width="8" style="161" bestFit="1" customWidth="1"/>
    <col min="745" max="745" width="20.26953125" style="161" customWidth="1"/>
    <col min="746" max="752" width="11.7265625" style="161" customWidth="1"/>
    <col min="753" max="753" width="13.90625" style="161" customWidth="1"/>
    <col min="754" max="755" width="11.7265625" style="161" customWidth="1"/>
    <col min="756" max="768" width="9" style="161"/>
    <col min="769" max="769" width="4.7265625" style="161" customWidth="1"/>
    <col min="770" max="770" width="9" style="161"/>
    <col min="771" max="771" width="28.08984375" style="161" customWidth="1"/>
    <col min="772" max="774" width="0" style="161" hidden="1" customWidth="1"/>
    <col min="775" max="777" width="18.90625" style="161" customWidth="1"/>
    <col min="778" max="778" width="11.08984375" style="161" bestFit="1" customWidth="1"/>
    <col min="779" max="779" width="14.90625" style="161" customWidth="1"/>
    <col min="780" max="780" width="13.90625" style="161" bestFit="1" customWidth="1"/>
    <col min="781" max="783" width="9" style="161"/>
    <col min="784" max="785" width="12.90625" style="161" customWidth="1"/>
    <col min="786" max="786" width="17.7265625" style="161" customWidth="1"/>
    <col min="787" max="998" width="9" style="161"/>
    <col min="999" max="999" width="4.7265625" style="161" customWidth="1"/>
    <col min="1000" max="1000" width="8" style="161" bestFit="1" customWidth="1"/>
    <col min="1001" max="1001" width="20.26953125" style="161" customWidth="1"/>
    <col min="1002" max="1008" width="11.7265625" style="161" customWidth="1"/>
    <col min="1009" max="1009" width="13.90625" style="161" customWidth="1"/>
    <col min="1010" max="1011" width="11.7265625" style="161" customWidth="1"/>
    <col min="1012" max="1024" width="9" style="161"/>
    <col min="1025" max="1025" width="4.7265625" style="161" customWidth="1"/>
    <col min="1026" max="1026" width="9" style="161"/>
    <col min="1027" max="1027" width="28.08984375" style="161" customWidth="1"/>
    <col min="1028" max="1030" width="0" style="161" hidden="1" customWidth="1"/>
    <col min="1031" max="1033" width="18.90625" style="161" customWidth="1"/>
    <col min="1034" max="1034" width="11.08984375" style="161" bestFit="1" customWidth="1"/>
    <col min="1035" max="1035" width="14.90625" style="161" customWidth="1"/>
    <col min="1036" max="1036" width="13.90625" style="161" bestFit="1" customWidth="1"/>
    <col min="1037" max="1039" width="9" style="161"/>
    <col min="1040" max="1041" width="12.90625" style="161" customWidth="1"/>
    <col min="1042" max="1042" width="17.7265625" style="161" customWidth="1"/>
    <col min="1043" max="1254" width="9" style="161"/>
    <col min="1255" max="1255" width="4.7265625" style="161" customWidth="1"/>
    <col min="1256" max="1256" width="8" style="161" bestFit="1" customWidth="1"/>
    <col min="1257" max="1257" width="20.26953125" style="161" customWidth="1"/>
    <col min="1258" max="1264" width="11.7265625" style="161" customWidth="1"/>
    <col min="1265" max="1265" width="13.90625" style="161" customWidth="1"/>
    <col min="1266" max="1267" width="11.7265625" style="161" customWidth="1"/>
    <col min="1268" max="1280" width="9" style="161"/>
    <col min="1281" max="1281" width="4.7265625" style="161" customWidth="1"/>
    <col min="1282" max="1282" width="9" style="161"/>
    <col min="1283" max="1283" width="28.08984375" style="161" customWidth="1"/>
    <col min="1284" max="1286" width="0" style="161" hidden="1" customWidth="1"/>
    <col min="1287" max="1289" width="18.90625" style="161" customWidth="1"/>
    <col min="1290" max="1290" width="11.08984375" style="161" bestFit="1" customWidth="1"/>
    <col min="1291" max="1291" width="14.90625" style="161" customWidth="1"/>
    <col min="1292" max="1292" width="13.90625" style="161" bestFit="1" customWidth="1"/>
    <col min="1293" max="1295" width="9" style="161"/>
    <col min="1296" max="1297" width="12.90625" style="161" customWidth="1"/>
    <col min="1298" max="1298" width="17.7265625" style="161" customWidth="1"/>
    <col min="1299" max="1510" width="9" style="161"/>
    <col min="1511" max="1511" width="4.7265625" style="161" customWidth="1"/>
    <col min="1512" max="1512" width="8" style="161" bestFit="1" customWidth="1"/>
    <col min="1513" max="1513" width="20.26953125" style="161" customWidth="1"/>
    <col min="1514" max="1520" width="11.7265625" style="161" customWidth="1"/>
    <col min="1521" max="1521" width="13.90625" style="161" customWidth="1"/>
    <col min="1522" max="1523" width="11.7265625" style="161" customWidth="1"/>
    <col min="1524" max="1536" width="9" style="161"/>
    <col min="1537" max="1537" width="4.7265625" style="161" customWidth="1"/>
    <col min="1538" max="1538" width="9" style="161"/>
    <col min="1539" max="1539" width="28.08984375" style="161" customWidth="1"/>
    <col min="1540" max="1542" width="0" style="161" hidden="1" customWidth="1"/>
    <col min="1543" max="1545" width="18.90625" style="161" customWidth="1"/>
    <col min="1546" max="1546" width="11.08984375" style="161" bestFit="1" customWidth="1"/>
    <col min="1547" max="1547" width="14.90625" style="161" customWidth="1"/>
    <col min="1548" max="1548" width="13.90625" style="161" bestFit="1" customWidth="1"/>
    <col min="1549" max="1551" width="9" style="161"/>
    <col min="1552" max="1553" width="12.90625" style="161" customWidth="1"/>
    <col min="1554" max="1554" width="17.7265625" style="161" customWidth="1"/>
    <col min="1555" max="1766" width="9" style="161"/>
    <col min="1767" max="1767" width="4.7265625" style="161" customWidth="1"/>
    <col min="1768" max="1768" width="8" style="161" bestFit="1" customWidth="1"/>
    <col min="1769" max="1769" width="20.26953125" style="161" customWidth="1"/>
    <col min="1770" max="1776" width="11.7265625" style="161" customWidth="1"/>
    <col min="1777" max="1777" width="13.90625" style="161" customWidth="1"/>
    <col min="1778" max="1779" width="11.7265625" style="161" customWidth="1"/>
    <col min="1780" max="1792" width="9" style="161"/>
    <col min="1793" max="1793" width="4.7265625" style="161" customWidth="1"/>
    <col min="1794" max="1794" width="9" style="161"/>
    <col min="1795" max="1795" width="28.08984375" style="161" customWidth="1"/>
    <col min="1796" max="1798" width="0" style="161" hidden="1" customWidth="1"/>
    <col min="1799" max="1801" width="18.90625" style="161" customWidth="1"/>
    <col min="1802" max="1802" width="11.08984375" style="161" bestFit="1" customWidth="1"/>
    <col min="1803" max="1803" width="14.90625" style="161" customWidth="1"/>
    <col min="1804" max="1804" width="13.90625" style="161" bestFit="1" customWidth="1"/>
    <col min="1805" max="1807" width="9" style="161"/>
    <col min="1808" max="1809" width="12.90625" style="161" customWidth="1"/>
    <col min="1810" max="1810" width="17.7265625" style="161" customWidth="1"/>
    <col min="1811" max="2022" width="9" style="161"/>
    <col min="2023" max="2023" width="4.7265625" style="161" customWidth="1"/>
    <col min="2024" max="2024" width="8" style="161" bestFit="1" customWidth="1"/>
    <col min="2025" max="2025" width="20.26953125" style="161" customWidth="1"/>
    <col min="2026" max="2032" width="11.7265625" style="161" customWidth="1"/>
    <col min="2033" max="2033" width="13.90625" style="161" customWidth="1"/>
    <col min="2034" max="2035" width="11.7265625" style="161" customWidth="1"/>
    <col min="2036" max="2048" width="9" style="161"/>
    <col min="2049" max="2049" width="4.7265625" style="161" customWidth="1"/>
    <col min="2050" max="2050" width="9" style="161"/>
    <col min="2051" max="2051" width="28.08984375" style="161" customWidth="1"/>
    <col min="2052" max="2054" width="0" style="161" hidden="1" customWidth="1"/>
    <col min="2055" max="2057" width="18.90625" style="161" customWidth="1"/>
    <col min="2058" max="2058" width="11.08984375" style="161" bestFit="1" customWidth="1"/>
    <col min="2059" max="2059" width="14.90625" style="161" customWidth="1"/>
    <col min="2060" max="2060" width="13.90625" style="161" bestFit="1" customWidth="1"/>
    <col min="2061" max="2063" width="9" style="161"/>
    <col min="2064" max="2065" width="12.90625" style="161" customWidth="1"/>
    <col min="2066" max="2066" width="17.7265625" style="161" customWidth="1"/>
    <col min="2067" max="2278" width="9" style="161"/>
    <col min="2279" max="2279" width="4.7265625" style="161" customWidth="1"/>
    <col min="2280" max="2280" width="8" style="161" bestFit="1" customWidth="1"/>
    <col min="2281" max="2281" width="20.26953125" style="161" customWidth="1"/>
    <col min="2282" max="2288" width="11.7265625" style="161" customWidth="1"/>
    <col min="2289" max="2289" width="13.90625" style="161" customWidth="1"/>
    <col min="2290" max="2291" width="11.7265625" style="161" customWidth="1"/>
    <col min="2292" max="2304" width="9" style="161"/>
    <col min="2305" max="2305" width="4.7265625" style="161" customWidth="1"/>
    <col min="2306" max="2306" width="9" style="161"/>
    <col min="2307" max="2307" width="28.08984375" style="161" customWidth="1"/>
    <col min="2308" max="2310" width="0" style="161" hidden="1" customWidth="1"/>
    <col min="2311" max="2313" width="18.90625" style="161" customWidth="1"/>
    <col min="2314" max="2314" width="11.08984375" style="161" bestFit="1" customWidth="1"/>
    <col min="2315" max="2315" width="14.90625" style="161" customWidth="1"/>
    <col min="2316" max="2316" width="13.90625" style="161" bestFit="1" customWidth="1"/>
    <col min="2317" max="2319" width="9" style="161"/>
    <col min="2320" max="2321" width="12.90625" style="161" customWidth="1"/>
    <col min="2322" max="2322" width="17.7265625" style="161" customWidth="1"/>
    <col min="2323" max="2534" width="9" style="161"/>
    <col min="2535" max="2535" width="4.7265625" style="161" customWidth="1"/>
    <col min="2536" max="2536" width="8" style="161" bestFit="1" customWidth="1"/>
    <col min="2537" max="2537" width="20.26953125" style="161" customWidth="1"/>
    <col min="2538" max="2544" width="11.7265625" style="161" customWidth="1"/>
    <col min="2545" max="2545" width="13.90625" style="161" customWidth="1"/>
    <col min="2546" max="2547" width="11.7265625" style="161" customWidth="1"/>
    <col min="2548" max="2560" width="9" style="161"/>
    <col min="2561" max="2561" width="4.7265625" style="161" customWidth="1"/>
    <col min="2562" max="2562" width="9" style="161"/>
    <col min="2563" max="2563" width="28.08984375" style="161" customWidth="1"/>
    <col min="2564" max="2566" width="0" style="161" hidden="1" customWidth="1"/>
    <col min="2567" max="2569" width="18.90625" style="161" customWidth="1"/>
    <col min="2570" max="2570" width="11.08984375" style="161" bestFit="1" customWidth="1"/>
    <col min="2571" max="2571" width="14.90625" style="161" customWidth="1"/>
    <col min="2572" max="2572" width="13.90625" style="161" bestFit="1" customWidth="1"/>
    <col min="2573" max="2575" width="9" style="161"/>
    <col min="2576" max="2577" width="12.90625" style="161" customWidth="1"/>
    <col min="2578" max="2578" width="17.7265625" style="161" customWidth="1"/>
    <col min="2579" max="2790" width="9" style="161"/>
    <col min="2791" max="2791" width="4.7265625" style="161" customWidth="1"/>
    <col min="2792" max="2792" width="8" style="161" bestFit="1" customWidth="1"/>
    <col min="2793" max="2793" width="20.26953125" style="161" customWidth="1"/>
    <col min="2794" max="2800" width="11.7265625" style="161" customWidth="1"/>
    <col min="2801" max="2801" width="13.90625" style="161" customWidth="1"/>
    <col min="2802" max="2803" width="11.7265625" style="161" customWidth="1"/>
    <col min="2804" max="2816" width="9" style="161"/>
    <col min="2817" max="2817" width="4.7265625" style="161" customWidth="1"/>
    <col min="2818" max="2818" width="9" style="161"/>
    <col min="2819" max="2819" width="28.08984375" style="161" customWidth="1"/>
    <col min="2820" max="2822" width="0" style="161" hidden="1" customWidth="1"/>
    <col min="2823" max="2825" width="18.90625" style="161" customWidth="1"/>
    <col min="2826" max="2826" width="11.08984375" style="161" bestFit="1" customWidth="1"/>
    <col min="2827" max="2827" width="14.90625" style="161" customWidth="1"/>
    <col min="2828" max="2828" width="13.90625" style="161" bestFit="1" customWidth="1"/>
    <col min="2829" max="2831" width="9" style="161"/>
    <col min="2832" max="2833" width="12.90625" style="161" customWidth="1"/>
    <col min="2834" max="2834" width="17.7265625" style="161" customWidth="1"/>
    <col min="2835" max="3046" width="9" style="161"/>
    <col min="3047" max="3047" width="4.7265625" style="161" customWidth="1"/>
    <col min="3048" max="3048" width="8" style="161" bestFit="1" customWidth="1"/>
    <col min="3049" max="3049" width="20.26953125" style="161" customWidth="1"/>
    <col min="3050" max="3056" width="11.7265625" style="161" customWidth="1"/>
    <col min="3057" max="3057" width="13.90625" style="161" customWidth="1"/>
    <col min="3058" max="3059" width="11.7265625" style="161" customWidth="1"/>
    <col min="3060" max="3072" width="9" style="161"/>
    <col min="3073" max="3073" width="4.7265625" style="161" customWidth="1"/>
    <col min="3074" max="3074" width="9" style="161"/>
    <col min="3075" max="3075" width="28.08984375" style="161" customWidth="1"/>
    <col min="3076" max="3078" width="0" style="161" hidden="1" customWidth="1"/>
    <col min="3079" max="3081" width="18.90625" style="161" customWidth="1"/>
    <col min="3082" max="3082" width="11.08984375" style="161" bestFit="1" customWidth="1"/>
    <col min="3083" max="3083" width="14.90625" style="161" customWidth="1"/>
    <col min="3084" max="3084" width="13.90625" style="161" bestFit="1" customWidth="1"/>
    <col min="3085" max="3087" width="9" style="161"/>
    <col min="3088" max="3089" width="12.90625" style="161" customWidth="1"/>
    <col min="3090" max="3090" width="17.7265625" style="161" customWidth="1"/>
    <col min="3091" max="3302" width="9" style="161"/>
    <col min="3303" max="3303" width="4.7265625" style="161" customWidth="1"/>
    <col min="3304" max="3304" width="8" style="161" bestFit="1" customWidth="1"/>
    <col min="3305" max="3305" width="20.26953125" style="161" customWidth="1"/>
    <col min="3306" max="3312" width="11.7265625" style="161" customWidth="1"/>
    <col min="3313" max="3313" width="13.90625" style="161" customWidth="1"/>
    <col min="3314" max="3315" width="11.7265625" style="161" customWidth="1"/>
    <col min="3316" max="3328" width="9" style="161"/>
    <col min="3329" max="3329" width="4.7265625" style="161" customWidth="1"/>
    <col min="3330" max="3330" width="9" style="161"/>
    <col min="3331" max="3331" width="28.08984375" style="161" customWidth="1"/>
    <col min="3332" max="3334" width="0" style="161" hidden="1" customWidth="1"/>
    <col min="3335" max="3337" width="18.90625" style="161" customWidth="1"/>
    <col min="3338" max="3338" width="11.08984375" style="161" bestFit="1" customWidth="1"/>
    <col min="3339" max="3339" width="14.90625" style="161" customWidth="1"/>
    <col min="3340" max="3340" width="13.90625" style="161" bestFit="1" customWidth="1"/>
    <col min="3341" max="3343" width="9" style="161"/>
    <col min="3344" max="3345" width="12.90625" style="161" customWidth="1"/>
    <col min="3346" max="3346" width="17.7265625" style="161" customWidth="1"/>
    <col min="3347" max="3558" width="9" style="161"/>
    <col min="3559" max="3559" width="4.7265625" style="161" customWidth="1"/>
    <col min="3560" max="3560" width="8" style="161" bestFit="1" customWidth="1"/>
    <col min="3561" max="3561" width="20.26953125" style="161" customWidth="1"/>
    <col min="3562" max="3568" width="11.7265625" style="161" customWidth="1"/>
    <col min="3569" max="3569" width="13.90625" style="161" customWidth="1"/>
    <col min="3570" max="3571" width="11.7265625" style="161" customWidth="1"/>
    <col min="3572" max="3584" width="9" style="161"/>
    <col min="3585" max="3585" width="4.7265625" style="161" customWidth="1"/>
    <col min="3586" max="3586" width="9" style="161"/>
    <col min="3587" max="3587" width="28.08984375" style="161" customWidth="1"/>
    <col min="3588" max="3590" width="0" style="161" hidden="1" customWidth="1"/>
    <col min="3591" max="3593" width="18.90625" style="161" customWidth="1"/>
    <col min="3594" max="3594" width="11.08984375" style="161" bestFit="1" customWidth="1"/>
    <col min="3595" max="3595" width="14.90625" style="161" customWidth="1"/>
    <col min="3596" max="3596" width="13.90625" style="161" bestFit="1" customWidth="1"/>
    <col min="3597" max="3599" width="9" style="161"/>
    <col min="3600" max="3601" width="12.90625" style="161" customWidth="1"/>
    <col min="3602" max="3602" width="17.7265625" style="161" customWidth="1"/>
    <col min="3603" max="3814" width="9" style="161"/>
    <col min="3815" max="3815" width="4.7265625" style="161" customWidth="1"/>
    <col min="3816" max="3816" width="8" style="161" bestFit="1" customWidth="1"/>
    <col min="3817" max="3817" width="20.26953125" style="161" customWidth="1"/>
    <col min="3818" max="3824" width="11.7265625" style="161" customWidth="1"/>
    <col min="3825" max="3825" width="13.90625" style="161" customWidth="1"/>
    <col min="3826" max="3827" width="11.7265625" style="161" customWidth="1"/>
    <col min="3828" max="3840" width="9" style="161"/>
    <col min="3841" max="3841" width="4.7265625" style="161" customWidth="1"/>
    <col min="3842" max="3842" width="9" style="161"/>
    <col min="3843" max="3843" width="28.08984375" style="161" customWidth="1"/>
    <col min="3844" max="3846" width="0" style="161" hidden="1" customWidth="1"/>
    <col min="3847" max="3849" width="18.90625" style="161" customWidth="1"/>
    <col min="3850" max="3850" width="11.08984375" style="161" bestFit="1" customWidth="1"/>
    <col min="3851" max="3851" width="14.90625" style="161" customWidth="1"/>
    <col min="3852" max="3852" width="13.90625" style="161" bestFit="1" customWidth="1"/>
    <col min="3853" max="3855" width="9" style="161"/>
    <col min="3856" max="3857" width="12.90625" style="161" customWidth="1"/>
    <col min="3858" max="3858" width="17.7265625" style="161" customWidth="1"/>
    <col min="3859" max="4070" width="9" style="161"/>
    <col min="4071" max="4071" width="4.7265625" style="161" customWidth="1"/>
    <col min="4072" max="4072" width="8" style="161" bestFit="1" customWidth="1"/>
    <col min="4073" max="4073" width="20.26953125" style="161" customWidth="1"/>
    <col min="4074" max="4080" width="11.7265625" style="161" customWidth="1"/>
    <col min="4081" max="4081" width="13.90625" style="161" customWidth="1"/>
    <col min="4082" max="4083" width="11.7265625" style="161" customWidth="1"/>
    <col min="4084" max="4096" width="9" style="161"/>
    <col min="4097" max="4097" width="4.7265625" style="161" customWidth="1"/>
    <col min="4098" max="4098" width="9" style="161"/>
    <col min="4099" max="4099" width="28.08984375" style="161" customWidth="1"/>
    <col min="4100" max="4102" width="0" style="161" hidden="1" customWidth="1"/>
    <col min="4103" max="4105" width="18.90625" style="161" customWidth="1"/>
    <col min="4106" max="4106" width="11.08984375" style="161" bestFit="1" customWidth="1"/>
    <col min="4107" max="4107" width="14.90625" style="161" customWidth="1"/>
    <col min="4108" max="4108" width="13.90625" style="161" bestFit="1" customWidth="1"/>
    <col min="4109" max="4111" width="9" style="161"/>
    <col min="4112" max="4113" width="12.90625" style="161" customWidth="1"/>
    <col min="4114" max="4114" width="17.7265625" style="161" customWidth="1"/>
    <col min="4115" max="4326" width="9" style="161"/>
    <col min="4327" max="4327" width="4.7265625" style="161" customWidth="1"/>
    <col min="4328" max="4328" width="8" style="161" bestFit="1" customWidth="1"/>
    <col min="4329" max="4329" width="20.26953125" style="161" customWidth="1"/>
    <col min="4330" max="4336" width="11.7265625" style="161" customWidth="1"/>
    <col min="4337" max="4337" width="13.90625" style="161" customWidth="1"/>
    <col min="4338" max="4339" width="11.7265625" style="161" customWidth="1"/>
    <col min="4340" max="4352" width="9" style="161"/>
    <col min="4353" max="4353" width="4.7265625" style="161" customWidth="1"/>
    <col min="4354" max="4354" width="9" style="161"/>
    <col min="4355" max="4355" width="28.08984375" style="161" customWidth="1"/>
    <col min="4356" max="4358" width="0" style="161" hidden="1" customWidth="1"/>
    <col min="4359" max="4361" width="18.90625" style="161" customWidth="1"/>
    <col min="4362" max="4362" width="11.08984375" style="161" bestFit="1" customWidth="1"/>
    <col min="4363" max="4363" width="14.90625" style="161" customWidth="1"/>
    <col min="4364" max="4364" width="13.90625" style="161" bestFit="1" customWidth="1"/>
    <col min="4365" max="4367" width="9" style="161"/>
    <col min="4368" max="4369" width="12.90625" style="161" customWidth="1"/>
    <col min="4370" max="4370" width="17.7265625" style="161" customWidth="1"/>
    <col min="4371" max="4582" width="9" style="161"/>
    <col min="4583" max="4583" width="4.7265625" style="161" customWidth="1"/>
    <col min="4584" max="4584" width="8" style="161" bestFit="1" customWidth="1"/>
    <col min="4585" max="4585" width="20.26953125" style="161" customWidth="1"/>
    <col min="4586" max="4592" width="11.7265625" style="161" customWidth="1"/>
    <col min="4593" max="4593" width="13.90625" style="161" customWidth="1"/>
    <col min="4594" max="4595" width="11.7265625" style="161" customWidth="1"/>
    <col min="4596" max="4608" width="9" style="161"/>
    <col min="4609" max="4609" width="4.7265625" style="161" customWidth="1"/>
    <col min="4610" max="4610" width="9" style="161"/>
    <col min="4611" max="4611" width="28.08984375" style="161" customWidth="1"/>
    <col min="4612" max="4614" width="0" style="161" hidden="1" customWidth="1"/>
    <col min="4615" max="4617" width="18.90625" style="161" customWidth="1"/>
    <col min="4618" max="4618" width="11.08984375" style="161" bestFit="1" customWidth="1"/>
    <col min="4619" max="4619" width="14.90625" style="161" customWidth="1"/>
    <col min="4620" max="4620" width="13.90625" style="161" bestFit="1" customWidth="1"/>
    <col min="4621" max="4623" width="9" style="161"/>
    <col min="4624" max="4625" width="12.90625" style="161" customWidth="1"/>
    <col min="4626" max="4626" width="17.7265625" style="161" customWidth="1"/>
    <col min="4627" max="4838" width="9" style="161"/>
    <col min="4839" max="4839" width="4.7265625" style="161" customWidth="1"/>
    <col min="4840" max="4840" width="8" style="161" bestFit="1" customWidth="1"/>
    <col min="4841" max="4841" width="20.26953125" style="161" customWidth="1"/>
    <col min="4842" max="4848" width="11.7265625" style="161" customWidth="1"/>
    <col min="4849" max="4849" width="13.90625" style="161" customWidth="1"/>
    <col min="4850" max="4851" width="11.7265625" style="161" customWidth="1"/>
    <col min="4852" max="4864" width="9" style="161"/>
    <col min="4865" max="4865" width="4.7265625" style="161" customWidth="1"/>
    <col min="4866" max="4866" width="9" style="161"/>
    <col min="4867" max="4867" width="28.08984375" style="161" customWidth="1"/>
    <col min="4868" max="4870" width="0" style="161" hidden="1" customWidth="1"/>
    <col min="4871" max="4873" width="18.90625" style="161" customWidth="1"/>
    <col min="4874" max="4874" width="11.08984375" style="161" bestFit="1" customWidth="1"/>
    <col min="4875" max="4875" width="14.90625" style="161" customWidth="1"/>
    <col min="4876" max="4876" width="13.90625" style="161" bestFit="1" customWidth="1"/>
    <col min="4877" max="4879" width="9" style="161"/>
    <col min="4880" max="4881" width="12.90625" style="161" customWidth="1"/>
    <col min="4882" max="4882" width="17.7265625" style="161" customWidth="1"/>
    <col min="4883" max="5094" width="9" style="161"/>
    <col min="5095" max="5095" width="4.7265625" style="161" customWidth="1"/>
    <col min="5096" max="5096" width="8" style="161" bestFit="1" customWidth="1"/>
    <col min="5097" max="5097" width="20.26953125" style="161" customWidth="1"/>
    <col min="5098" max="5104" width="11.7265625" style="161" customWidth="1"/>
    <col min="5105" max="5105" width="13.90625" style="161" customWidth="1"/>
    <col min="5106" max="5107" width="11.7265625" style="161" customWidth="1"/>
    <col min="5108" max="5120" width="9" style="161"/>
    <col min="5121" max="5121" width="4.7265625" style="161" customWidth="1"/>
    <col min="5122" max="5122" width="9" style="161"/>
    <col min="5123" max="5123" width="28.08984375" style="161" customWidth="1"/>
    <col min="5124" max="5126" width="0" style="161" hidden="1" customWidth="1"/>
    <col min="5127" max="5129" width="18.90625" style="161" customWidth="1"/>
    <col min="5130" max="5130" width="11.08984375" style="161" bestFit="1" customWidth="1"/>
    <col min="5131" max="5131" width="14.90625" style="161" customWidth="1"/>
    <col min="5132" max="5132" width="13.90625" style="161" bestFit="1" customWidth="1"/>
    <col min="5133" max="5135" width="9" style="161"/>
    <col min="5136" max="5137" width="12.90625" style="161" customWidth="1"/>
    <col min="5138" max="5138" width="17.7265625" style="161" customWidth="1"/>
    <col min="5139" max="5350" width="9" style="161"/>
    <col min="5351" max="5351" width="4.7265625" style="161" customWidth="1"/>
    <col min="5352" max="5352" width="8" style="161" bestFit="1" customWidth="1"/>
    <col min="5353" max="5353" width="20.26953125" style="161" customWidth="1"/>
    <col min="5354" max="5360" width="11.7265625" style="161" customWidth="1"/>
    <col min="5361" max="5361" width="13.90625" style="161" customWidth="1"/>
    <col min="5362" max="5363" width="11.7265625" style="161" customWidth="1"/>
    <col min="5364" max="5376" width="9" style="161"/>
    <col min="5377" max="5377" width="4.7265625" style="161" customWidth="1"/>
    <col min="5378" max="5378" width="9" style="161"/>
    <col min="5379" max="5379" width="28.08984375" style="161" customWidth="1"/>
    <col min="5380" max="5382" width="0" style="161" hidden="1" customWidth="1"/>
    <col min="5383" max="5385" width="18.90625" style="161" customWidth="1"/>
    <col min="5386" max="5386" width="11.08984375" style="161" bestFit="1" customWidth="1"/>
    <col min="5387" max="5387" width="14.90625" style="161" customWidth="1"/>
    <col min="5388" max="5388" width="13.90625" style="161" bestFit="1" customWidth="1"/>
    <col min="5389" max="5391" width="9" style="161"/>
    <col min="5392" max="5393" width="12.90625" style="161" customWidth="1"/>
    <col min="5394" max="5394" width="17.7265625" style="161" customWidth="1"/>
    <col min="5395" max="5606" width="9" style="161"/>
    <col min="5607" max="5607" width="4.7265625" style="161" customWidth="1"/>
    <col min="5608" max="5608" width="8" style="161" bestFit="1" customWidth="1"/>
    <col min="5609" max="5609" width="20.26953125" style="161" customWidth="1"/>
    <col min="5610" max="5616" width="11.7265625" style="161" customWidth="1"/>
    <col min="5617" max="5617" width="13.90625" style="161" customWidth="1"/>
    <col min="5618" max="5619" width="11.7265625" style="161" customWidth="1"/>
    <col min="5620" max="5632" width="9" style="161"/>
    <col min="5633" max="5633" width="4.7265625" style="161" customWidth="1"/>
    <col min="5634" max="5634" width="9" style="161"/>
    <col min="5635" max="5635" width="28.08984375" style="161" customWidth="1"/>
    <col min="5636" max="5638" width="0" style="161" hidden="1" customWidth="1"/>
    <col min="5639" max="5641" width="18.90625" style="161" customWidth="1"/>
    <col min="5642" max="5642" width="11.08984375" style="161" bestFit="1" customWidth="1"/>
    <col min="5643" max="5643" width="14.90625" style="161" customWidth="1"/>
    <col min="5644" max="5644" width="13.90625" style="161" bestFit="1" customWidth="1"/>
    <col min="5645" max="5647" width="9" style="161"/>
    <col min="5648" max="5649" width="12.90625" style="161" customWidth="1"/>
    <col min="5650" max="5650" width="17.7265625" style="161" customWidth="1"/>
    <col min="5651" max="5862" width="9" style="161"/>
    <col min="5863" max="5863" width="4.7265625" style="161" customWidth="1"/>
    <col min="5864" max="5864" width="8" style="161" bestFit="1" customWidth="1"/>
    <col min="5865" max="5865" width="20.26953125" style="161" customWidth="1"/>
    <col min="5866" max="5872" width="11.7265625" style="161" customWidth="1"/>
    <col min="5873" max="5873" width="13.90625" style="161" customWidth="1"/>
    <col min="5874" max="5875" width="11.7265625" style="161" customWidth="1"/>
    <col min="5876" max="5888" width="9" style="161"/>
    <col min="5889" max="5889" width="4.7265625" style="161" customWidth="1"/>
    <col min="5890" max="5890" width="9" style="161"/>
    <col min="5891" max="5891" width="28.08984375" style="161" customWidth="1"/>
    <col min="5892" max="5894" width="0" style="161" hidden="1" customWidth="1"/>
    <col min="5895" max="5897" width="18.90625" style="161" customWidth="1"/>
    <col min="5898" max="5898" width="11.08984375" style="161" bestFit="1" customWidth="1"/>
    <col min="5899" max="5899" width="14.90625" style="161" customWidth="1"/>
    <col min="5900" max="5900" width="13.90625" style="161" bestFit="1" customWidth="1"/>
    <col min="5901" max="5903" width="9" style="161"/>
    <col min="5904" max="5905" width="12.90625" style="161" customWidth="1"/>
    <col min="5906" max="5906" width="17.7265625" style="161" customWidth="1"/>
    <col min="5907" max="6118" width="9" style="161"/>
    <col min="6119" max="6119" width="4.7265625" style="161" customWidth="1"/>
    <col min="6120" max="6120" width="8" style="161" bestFit="1" customWidth="1"/>
    <col min="6121" max="6121" width="20.26953125" style="161" customWidth="1"/>
    <col min="6122" max="6128" width="11.7265625" style="161" customWidth="1"/>
    <col min="6129" max="6129" width="13.90625" style="161" customWidth="1"/>
    <col min="6130" max="6131" width="11.7265625" style="161" customWidth="1"/>
    <col min="6132" max="6144" width="9" style="161"/>
    <col min="6145" max="6145" width="4.7265625" style="161" customWidth="1"/>
    <col min="6146" max="6146" width="9" style="161"/>
    <col min="6147" max="6147" width="28.08984375" style="161" customWidth="1"/>
    <col min="6148" max="6150" width="0" style="161" hidden="1" customWidth="1"/>
    <col min="6151" max="6153" width="18.90625" style="161" customWidth="1"/>
    <col min="6154" max="6154" width="11.08984375" style="161" bestFit="1" customWidth="1"/>
    <col min="6155" max="6155" width="14.90625" style="161" customWidth="1"/>
    <col min="6156" max="6156" width="13.90625" style="161" bestFit="1" customWidth="1"/>
    <col min="6157" max="6159" width="9" style="161"/>
    <col min="6160" max="6161" width="12.90625" style="161" customWidth="1"/>
    <col min="6162" max="6162" width="17.7265625" style="161" customWidth="1"/>
    <col min="6163" max="6374" width="9" style="161"/>
    <col min="6375" max="6375" width="4.7265625" style="161" customWidth="1"/>
    <col min="6376" max="6376" width="8" style="161" bestFit="1" customWidth="1"/>
    <col min="6377" max="6377" width="20.26953125" style="161" customWidth="1"/>
    <col min="6378" max="6384" width="11.7265625" style="161" customWidth="1"/>
    <col min="6385" max="6385" width="13.90625" style="161" customWidth="1"/>
    <col min="6386" max="6387" width="11.7265625" style="161" customWidth="1"/>
    <col min="6388" max="6400" width="9" style="161"/>
    <col min="6401" max="6401" width="4.7265625" style="161" customWidth="1"/>
    <col min="6402" max="6402" width="9" style="161"/>
    <col min="6403" max="6403" width="28.08984375" style="161" customWidth="1"/>
    <col min="6404" max="6406" width="0" style="161" hidden="1" customWidth="1"/>
    <col min="6407" max="6409" width="18.90625" style="161" customWidth="1"/>
    <col min="6410" max="6410" width="11.08984375" style="161" bestFit="1" customWidth="1"/>
    <col min="6411" max="6411" width="14.90625" style="161" customWidth="1"/>
    <col min="6412" max="6412" width="13.90625" style="161" bestFit="1" customWidth="1"/>
    <col min="6413" max="6415" width="9" style="161"/>
    <col min="6416" max="6417" width="12.90625" style="161" customWidth="1"/>
    <col min="6418" max="6418" width="17.7265625" style="161" customWidth="1"/>
    <col min="6419" max="6630" width="9" style="161"/>
    <col min="6631" max="6631" width="4.7265625" style="161" customWidth="1"/>
    <col min="6632" max="6632" width="8" style="161" bestFit="1" customWidth="1"/>
    <col min="6633" max="6633" width="20.26953125" style="161" customWidth="1"/>
    <col min="6634" max="6640" width="11.7265625" style="161" customWidth="1"/>
    <col min="6641" max="6641" width="13.90625" style="161" customWidth="1"/>
    <col min="6642" max="6643" width="11.7265625" style="161" customWidth="1"/>
    <col min="6644" max="6656" width="9" style="161"/>
    <col min="6657" max="6657" width="4.7265625" style="161" customWidth="1"/>
    <col min="6658" max="6658" width="9" style="161"/>
    <col min="6659" max="6659" width="28.08984375" style="161" customWidth="1"/>
    <col min="6660" max="6662" width="0" style="161" hidden="1" customWidth="1"/>
    <col min="6663" max="6665" width="18.90625" style="161" customWidth="1"/>
    <col min="6666" max="6666" width="11.08984375" style="161" bestFit="1" customWidth="1"/>
    <col min="6667" max="6667" width="14.90625" style="161" customWidth="1"/>
    <col min="6668" max="6668" width="13.90625" style="161" bestFit="1" customWidth="1"/>
    <col min="6669" max="6671" width="9" style="161"/>
    <col min="6672" max="6673" width="12.90625" style="161" customWidth="1"/>
    <col min="6674" max="6674" width="17.7265625" style="161" customWidth="1"/>
    <col min="6675" max="6886" width="9" style="161"/>
    <col min="6887" max="6887" width="4.7265625" style="161" customWidth="1"/>
    <col min="6888" max="6888" width="8" style="161" bestFit="1" customWidth="1"/>
    <col min="6889" max="6889" width="20.26953125" style="161" customWidth="1"/>
    <col min="6890" max="6896" width="11.7265625" style="161" customWidth="1"/>
    <col min="6897" max="6897" width="13.90625" style="161" customWidth="1"/>
    <col min="6898" max="6899" width="11.7265625" style="161" customWidth="1"/>
    <col min="6900" max="6912" width="9" style="161"/>
    <col min="6913" max="6913" width="4.7265625" style="161" customWidth="1"/>
    <col min="6914" max="6914" width="9" style="161"/>
    <col min="6915" max="6915" width="28.08984375" style="161" customWidth="1"/>
    <col min="6916" max="6918" width="0" style="161" hidden="1" customWidth="1"/>
    <col min="6919" max="6921" width="18.90625" style="161" customWidth="1"/>
    <col min="6922" max="6922" width="11.08984375" style="161" bestFit="1" customWidth="1"/>
    <col min="6923" max="6923" width="14.90625" style="161" customWidth="1"/>
    <col min="6924" max="6924" width="13.90625" style="161" bestFit="1" customWidth="1"/>
    <col min="6925" max="6927" width="9" style="161"/>
    <col min="6928" max="6929" width="12.90625" style="161" customWidth="1"/>
    <col min="6930" max="6930" width="17.7265625" style="161" customWidth="1"/>
    <col min="6931" max="7142" width="9" style="161"/>
    <col min="7143" max="7143" width="4.7265625" style="161" customWidth="1"/>
    <col min="7144" max="7144" width="8" style="161" bestFit="1" customWidth="1"/>
    <col min="7145" max="7145" width="20.26953125" style="161" customWidth="1"/>
    <col min="7146" max="7152" width="11.7265625" style="161" customWidth="1"/>
    <col min="7153" max="7153" width="13.90625" style="161" customWidth="1"/>
    <col min="7154" max="7155" width="11.7265625" style="161" customWidth="1"/>
    <col min="7156" max="7168" width="9" style="161"/>
    <col min="7169" max="7169" width="4.7265625" style="161" customWidth="1"/>
    <col min="7170" max="7170" width="9" style="161"/>
    <col min="7171" max="7171" width="28.08984375" style="161" customWidth="1"/>
    <col min="7172" max="7174" width="0" style="161" hidden="1" customWidth="1"/>
    <col min="7175" max="7177" width="18.90625" style="161" customWidth="1"/>
    <col min="7178" max="7178" width="11.08984375" style="161" bestFit="1" customWidth="1"/>
    <col min="7179" max="7179" width="14.90625" style="161" customWidth="1"/>
    <col min="7180" max="7180" width="13.90625" style="161" bestFit="1" customWidth="1"/>
    <col min="7181" max="7183" width="9" style="161"/>
    <col min="7184" max="7185" width="12.90625" style="161" customWidth="1"/>
    <col min="7186" max="7186" width="17.7265625" style="161" customWidth="1"/>
    <col min="7187" max="7398" width="9" style="161"/>
    <col min="7399" max="7399" width="4.7265625" style="161" customWidth="1"/>
    <col min="7400" max="7400" width="8" style="161" bestFit="1" customWidth="1"/>
    <col min="7401" max="7401" width="20.26953125" style="161" customWidth="1"/>
    <col min="7402" max="7408" width="11.7265625" style="161" customWidth="1"/>
    <col min="7409" max="7409" width="13.90625" style="161" customWidth="1"/>
    <col min="7410" max="7411" width="11.7265625" style="161" customWidth="1"/>
    <col min="7412" max="7424" width="9" style="161"/>
    <col min="7425" max="7425" width="4.7265625" style="161" customWidth="1"/>
    <col min="7426" max="7426" width="9" style="161"/>
    <col min="7427" max="7427" width="28.08984375" style="161" customWidth="1"/>
    <col min="7428" max="7430" width="0" style="161" hidden="1" customWidth="1"/>
    <col min="7431" max="7433" width="18.90625" style="161" customWidth="1"/>
    <col min="7434" max="7434" width="11.08984375" style="161" bestFit="1" customWidth="1"/>
    <col min="7435" max="7435" width="14.90625" style="161" customWidth="1"/>
    <col min="7436" max="7436" width="13.90625" style="161" bestFit="1" customWidth="1"/>
    <col min="7437" max="7439" width="9" style="161"/>
    <col min="7440" max="7441" width="12.90625" style="161" customWidth="1"/>
    <col min="7442" max="7442" width="17.7265625" style="161" customWidth="1"/>
    <col min="7443" max="7654" width="9" style="161"/>
    <col min="7655" max="7655" width="4.7265625" style="161" customWidth="1"/>
    <col min="7656" max="7656" width="8" style="161" bestFit="1" customWidth="1"/>
    <col min="7657" max="7657" width="20.26953125" style="161" customWidth="1"/>
    <col min="7658" max="7664" width="11.7265625" style="161" customWidth="1"/>
    <col min="7665" max="7665" width="13.90625" style="161" customWidth="1"/>
    <col min="7666" max="7667" width="11.7265625" style="161" customWidth="1"/>
    <col min="7668" max="7680" width="9" style="161"/>
    <col min="7681" max="7681" width="4.7265625" style="161" customWidth="1"/>
    <col min="7682" max="7682" width="9" style="161"/>
    <col min="7683" max="7683" width="28.08984375" style="161" customWidth="1"/>
    <col min="7684" max="7686" width="0" style="161" hidden="1" customWidth="1"/>
    <col min="7687" max="7689" width="18.90625" style="161" customWidth="1"/>
    <col min="7690" max="7690" width="11.08984375" style="161" bestFit="1" customWidth="1"/>
    <col min="7691" max="7691" width="14.90625" style="161" customWidth="1"/>
    <col min="7692" max="7692" width="13.90625" style="161" bestFit="1" customWidth="1"/>
    <col min="7693" max="7695" width="9" style="161"/>
    <col min="7696" max="7697" width="12.90625" style="161" customWidth="1"/>
    <col min="7698" max="7698" width="17.7265625" style="161" customWidth="1"/>
    <col min="7699" max="7910" width="9" style="161"/>
    <col min="7911" max="7911" width="4.7265625" style="161" customWidth="1"/>
    <col min="7912" max="7912" width="8" style="161" bestFit="1" customWidth="1"/>
    <col min="7913" max="7913" width="20.26953125" style="161" customWidth="1"/>
    <col min="7914" max="7920" width="11.7265625" style="161" customWidth="1"/>
    <col min="7921" max="7921" width="13.90625" style="161" customWidth="1"/>
    <col min="7922" max="7923" width="11.7265625" style="161" customWidth="1"/>
    <col min="7924" max="7936" width="9" style="161"/>
    <col min="7937" max="7937" width="4.7265625" style="161" customWidth="1"/>
    <col min="7938" max="7938" width="9" style="161"/>
    <col min="7939" max="7939" width="28.08984375" style="161" customWidth="1"/>
    <col min="7940" max="7942" width="0" style="161" hidden="1" customWidth="1"/>
    <col min="7943" max="7945" width="18.90625" style="161" customWidth="1"/>
    <col min="7946" max="7946" width="11.08984375" style="161" bestFit="1" customWidth="1"/>
    <col min="7947" max="7947" width="14.90625" style="161" customWidth="1"/>
    <col min="7948" max="7948" width="13.90625" style="161" bestFit="1" customWidth="1"/>
    <col min="7949" max="7951" width="9" style="161"/>
    <col min="7952" max="7953" width="12.90625" style="161" customWidth="1"/>
    <col min="7954" max="7954" width="17.7265625" style="161" customWidth="1"/>
    <col min="7955" max="8166" width="9" style="161"/>
    <col min="8167" max="8167" width="4.7265625" style="161" customWidth="1"/>
    <col min="8168" max="8168" width="8" style="161" bestFit="1" customWidth="1"/>
    <col min="8169" max="8169" width="20.26953125" style="161" customWidth="1"/>
    <col min="8170" max="8176" width="11.7265625" style="161" customWidth="1"/>
    <col min="8177" max="8177" width="13.90625" style="161" customWidth="1"/>
    <col min="8178" max="8179" width="11.7265625" style="161" customWidth="1"/>
    <col min="8180" max="8192" width="9" style="161"/>
    <col min="8193" max="8193" width="4.7265625" style="161" customWidth="1"/>
    <col min="8194" max="8194" width="9" style="161"/>
    <col min="8195" max="8195" width="28.08984375" style="161" customWidth="1"/>
    <col min="8196" max="8198" width="0" style="161" hidden="1" customWidth="1"/>
    <col min="8199" max="8201" width="18.90625" style="161" customWidth="1"/>
    <col min="8202" max="8202" width="11.08984375" style="161" bestFit="1" customWidth="1"/>
    <col min="8203" max="8203" width="14.90625" style="161" customWidth="1"/>
    <col min="8204" max="8204" width="13.90625" style="161" bestFit="1" customWidth="1"/>
    <col min="8205" max="8207" width="9" style="161"/>
    <col min="8208" max="8209" width="12.90625" style="161" customWidth="1"/>
    <col min="8210" max="8210" width="17.7265625" style="161" customWidth="1"/>
    <col min="8211" max="8422" width="9" style="161"/>
    <col min="8423" max="8423" width="4.7265625" style="161" customWidth="1"/>
    <col min="8424" max="8424" width="8" style="161" bestFit="1" customWidth="1"/>
    <col min="8425" max="8425" width="20.26953125" style="161" customWidth="1"/>
    <col min="8426" max="8432" width="11.7265625" style="161" customWidth="1"/>
    <col min="8433" max="8433" width="13.90625" style="161" customWidth="1"/>
    <col min="8434" max="8435" width="11.7265625" style="161" customWidth="1"/>
    <col min="8436" max="8448" width="9" style="161"/>
    <col min="8449" max="8449" width="4.7265625" style="161" customWidth="1"/>
    <col min="8450" max="8450" width="9" style="161"/>
    <col min="8451" max="8451" width="28.08984375" style="161" customWidth="1"/>
    <col min="8452" max="8454" width="0" style="161" hidden="1" customWidth="1"/>
    <col min="8455" max="8457" width="18.90625" style="161" customWidth="1"/>
    <col min="8458" max="8458" width="11.08984375" style="161" bestFit="1" customWidth="1"/>
    <col min="8459" max="8459" width="14.90625" style="161" customWidth="1"/>
    <col min="8460" max="8460" width="13.90625" style="161" bestFit="1" customWidth="1"/>
    <col min="8461" max="8463" width="9" style="161"/>
    <col min="8464" max="8465" width="12.90625" style="161" customWidth="1"/>
    <col min="8466" max="8466" width="17.7265625" style="161" customWidth="1"/>
    <col min="8467" max="8678" width="9" style="161"/>
    <col min="8679" max="8679" width="4.7265625" style="161" customWidth="1"/>
    <col min="8680" max="8680" width="8" style="161" bestFit="1" customWidth="1"/>
    <col min="8681" max="8681" width="20.26953125" style="161" customWidth="1"/>
    <col min="8682" max="8688" width="11.7265625" style="161" customWidth="1"/>
    <col min="8689" max="8689" width="13.90625" style="161" customWidth="1"/>
    <col min="8690" max="8691" width="11.7265625" style="161" customWidth="1"/>
    <col min="8692" max="8704" width="9" style="161"/>
    <col min="8705" max="8705" width="4.7265625" style="161" customWidth="1"/>
    <col min="8706" max="8706" width="9" style="161"/>
    <col min="8707" max="8707" width="28.08984375" style="161" customWidth="1"/>
    <col min="8708" max="8710" width="0" style="161" hidden="1" customWidth="1"/>
    <col min="8711" max="8713" width="18.90625" style="161" customWidth="1"/>
    <col min="8714" max="8714" width="11.08984375" style="161" bestFit="1" customWidth="1"/>
    <col min="8715" max="8715" width="14.90625" style="161" customWidth="1"/>
    <col min="8716" max="8716" width="13.90625" style="161" bestFit="1" customWidth="1"/>
    <col min="8717" max="8719" width="9" style="161"/>
    <col min="8720" max="8721" width="12.90625" style="161" customWidth="1"/>
    <col min="8722" max="8722" width="17.7265625" style="161" customWidth="1"/>
    <col min="8723" max="8934" width="9" style="161"/>
    <col min="8935" max="8935" width="4.7265625" style="161" customWidth="1"/>
    <col min="8936" max="8936" width="8" style="161" bestFit="1" customWidth="1"/>
    <col min="8937" max="8937" width="20.26953125" style="161" customWidth="1"/>
    <col min="8938" max="8944" width="11.7265625" style="161" customWidth="1"/>
    <col min="8945" max="8945" width="13.90625" style="161" customWidth="1"/>
    <col min="8946" max="8947" width="11.7265625" style="161" customWidth="1"/>
    <col min="8948" max="8960" width="9" style="161"/>
    <col min="8961" max="8961" width="4.7265625" style="161" customWidth="1"/>
    <col min="8962" max="8962" width="9" style="161"/>
    <col min="8963" max="8963" width="28.08984375" style="161" customWidth="1"/>
    <col min="8964" max="8966" width="0" style="161" hidden="1" customWidth="1"/>
    <col min="8967" max="8969" width="18.90625" style="161" customWidth="1"/>
    <col min="8970" max="8970" width="11.08984375" style="161" bestFit="1" customWidth="1"/>
    <col min="8971" max="8971" width="14.90625" style="161" customWidth="1"/>
    <col min="8972" max="8972" width="13.90625" style="161" bestFit="1" customWidth="1"/>
    <col min="8973" max="8975" width="9" style="161"/>
    <col min="8976" max="8977" width="12.90625" style="161" customWidth="1"/>
    <col min="8978" max="8978" width="17.7265625" style="161" customWidth="1"/>
    <col min="8979" max="9190" width="9" style="161"/>
    <col min="9191" max="9191" width="4.7265625" style="161" customWidth="1"/>
    <col min="9192" max="9192" width="8" style="161" bestFit="1" customWidth="1"/>
    <col min="9193" max="9193" width="20.26953125" style="161" customWidth="1"/>
    <col min="9194" max="9200" width="11.7265625" style="161" customWidth="1"/>
    <col min="9201" max="9201" width="13.90625" style="161" customWidth="1"/>
    <col min="9202" max="9203" width="11.7265625" style="161" customWidth="1"/>
    <col min="9204" max="9216" width="9" style="161"/>
    <col min="9217" max="9217" width="4.7265625" style="161" customWidth="1"/>
    <col min="9218" max="9218" width="9" style="161"/>
    <col min="9219" max="9219" width="28.08984375" style="161" customWidth="1"/>
    <col min="9220" max="9222" width="0" style="161" hidden="1" customWidth="1"/>
    <col min="9223" max="9225" width="18.90625" style="161" customWidth="1"/>
    <col min="9226" max="9226" width="11.08984375" style="161" bestFit="1" customWidth="1"/>
    <col min="9227" max="9227" width="14.90625" style="161" customWidth="1"/>
    <col min="9228" max="9228" width="13.90625" style="161" bestFit="1" customWidth="1"/>
    <col min="9229" max="9231" width="9" style="161"/>
    <col min="9232" max="9233" width="12.90625" style="161" customWidth="1"/>
    <col min="9234" max="9234" width="17.7265625" style="161" customWidth="1"/>
    <col min="9235" max="9446" width="9" style="161"/>
    <col min="9447" max="9447" width="4.7265625" style="161" customWidth="1"/>
    <col min="9448" max="9448" width="8" style="161" bestFit="1" customWidth="1"/>
    <col min="9449" max="9449" width="20.26953125" style="161" customWidth="1"/>
    <col min="9450" max="9456" width="11.7265625" style="161" customWidth="1"/>
    <col min="9457" max="9457" width="13.90625" style="161" customWidth="1"/>
    <col min="9458" max="9459" width="11.7265625" style="161" customWidth="1"/>
    <col min="9460" max="9472" width="9" style="161"/>
    <col min="9473" max="9473" width="4.7265625" style="161" customWidth="1"/>
    <col min="9474" max="9474" width="9" style="161"/>
    <col min="9475" max="9475" width="28.08984375" style="161" customWidth="1"/>
    <col min="9476" max="9478" width="0" style="161" hidden="1" customWidth="1"/>
    <col min="9479" max="9481" width="18.90625" style="161" customWidth="1"/>
    <col min="9482" max="9482" width="11.08984375" style="161" bestFit="1" customWidth="1"/>
    <col min="9483" max="9483" width="14.90625" style="161" customWidth="1"/>
    <col min="9484" max="9484" width="13.90625" style="161" bestFit="1" customWidth="1"/>
    <col min="9485" max="9487" width="9" style="161"/>
    <col min="9488" max="9489" width="12.90625" style="161" customWidth="1"/>
    <col min="9490" max="9490" width="17.7265625" style="161" customWidth="1"/>
    <col min="9491" max="9702" width="9" style="161"/>
    <col min="9703" max="9703" width="4.7265625" style="161" customWidth="1"/>
    <col min="9704" max="9704" width="8" style="161" bestFit="1" customWidth="1"/>
    <col min="9705" max="9705" width="20.26953125" style="161" customWidth="1"/>
    <col min="9706" max="9712" width="11.7265625" style="161" customWidth="1"/>
    <col min="9713" max="9713" width="13.90625" style="161" customWidth="1"/>
    <col min="9714" max="9715" width="11.7265625" style="161" customWidth="1"/>
    <col min="9716" max="9728" width="9" style="161"/>
    <col min="9729" max="9729" width="4.7265625" style="161" customWidth="1"/>
    <col min="9730" max="9730" width="9" style="161"/>
    <col min="9731" max="9731" width="28.08984375" style="161" customWidth="1"/>
    <col min="9732" max="9734" width="0" style="161" hidden="1" customWidth="1"/>
    <col min="9735" max="9737" width="18.90625" style="161" customWidth="1"/>
    <col min="9738" max="9738" width="11.08984375" style="161" bestFit="1" customWidth="1"/>
    <col min="9739" max="9739" width="14.90625" style="161" customWidth="1"/>
    <col min="9740" max="9740" width="13.90625" style="161" bestFit="1" customWidth="1"/>
    <col min="9741" max="9743" width="9" style="161"/>
    <col min="9744" max="9745" width="12.90625" style="161" customWidth="1"/>
    <col min="9746" max="9746" width="17.7265625" style="161" customWidth="1"/>
    <col min="9747" max="9958" width="9" style="161"/>
    <col min="9959" max="9959" width="4.7265625" style="161" customWidth="1"/>
    <col min="9960" max="9960" width="8" style="161" bestFit="1" customWidth="1"/>
    <col min="9961" max="9961" width="20.26953125" style="161" customWidth="1"/>
    <col min="9962" max="9968" width="11.7265625" style="161" customWidth="1"/>
    <col min="9969" max="9969" width="13.90625" style="161" customWidth="1"/>
    <col min="9970" max="9971" width="11.7265625" style="161" customWidth="1"/>
    <col min="9972" max="9984" width="9" style="161"/>
    <col min="9985" max="9985" width="4.7265625" style="161" customWidth="1"/>
    <col min="9986" max="9986" width="9" style="161"/>
    <col min="9987" max="9987" width="28.08984375" style="161" customWidth="1"/>
    <col min="9988" max="9990" width="0" style="161" hidden="1" customWidth="1"/>
    <col min="9991" max="9993" width="18.90625" style="161" customWidth="1"/>
    <col min="9994" max="9994" width="11.08984375" style="161" bestFit="1" customWidth="1"/>
    <col min="9995" max="9995" width="14.90625" style="161" customWidth="1"/>
    <col min="9996" max="9996" width="13.90625" style="161" bestFit="1" customWidth="1"/>
    <col min="9997" max="9999" width="9" style="161"/>
    <col min="10000" max="10001" width="12.90625" style="161" customWidth="1"/>
    <col min="10002" max="10002" width="17.7265625" style="161" customWidth="1"/>
    <col min="10003" max="10214" width="9" style="161"/>
    <col min="10215" max="10215" width="4.7265625" style="161" customWidth="1"/>
    <col min="10216" max="10216" width="8" style="161" bestFit="1" customWidth="1"/>
    <col min="10217" max="10217" width="20.26953125" style="161" customWidth="1"/>
    <col min="10218" max="10224" width="11.7265625" style="161" customWidth="1"/>
    <col min="10225" max="10225" width="13.90625" style="161" customWidth="1"/>
    <col min="10226" max="10227" width="11.7265625" style="161" customWidth="1"/>
    <col min="10228" max="10240" width="9" style="161"/>
    <col min="10241" max="10241" width="4.7265625" style="161" customWidth="1"/>
    <col min="10242" max="10242" width="9" style="161"/>
    <col min="10243" max="10243" width="28.08984375" style="161" customWidth="1"/>
    <col min="10244" max="10246" width="0" style="161" hidden="1" customWidth="1"/>
    <col min="10247" max="10249" width="18.90625" style="161" customWidth="1"/>
    <col min="10250" max="10250" width="11.08984375" style="161" bestFit="1" customWidth="1"/>
    <col min="10251" max="10251" width="14.90625" style="161" customWidth="1"/>
    <col min="10252" max="10252" width="13.90625" style="161" bestFit="1" customWidth="1"/>
    <col min="10253" max="10255" width="9" style="161"/>
    <col min="10256" max="10257" width="12.90625" style="161" customWidth="1"/>
    <col min="10258" max="10258" width="17.7265625" style="161" customWidth="1"/>
    <col min="10259" max="10470" width="9" style="161"/>
    <col min="10471" max="10471" width="4.7265625" style="161" customWidth="1"/>
    <col min="10472" max="10472" width="8" style="161" bestFit="1" customWidth="1"/>
    <col min="10473" max="10473" width="20.26953125" style="161" customWidth="1"/>
    <col min="10474" max="10480" width="11.7265625" style="161" customWidth="1"/>
    <col min="10481" max="10481" width="13.90625" style="161" customWidth="1"/>
    <col min="10482" max="10483" width="11.7265625" style="161" customWidth="1"/>
    <col min="10484" max="10496" width="9" style="161"/>
    <col min="10497" max="10497" width="4.7265625" style="161" customWidth="1"/>
    <col min="10498" max="10498" width="9" style="161"/>
    <col min="10499" max="10499" width="28.08984375" style="161" customWidth="1"/>
    <col min="10500" max="10502" width="0" style="161" hidden="1" customWidth="1"/>
    <col min="10503" max="10505" width="18.90625" style="161" customWidth="1"/>
    <col min="10506" max="10506" width="11.08984375" style="161" bestFit="1" customWidth="1"/>
    <col min="10507" max="10507" width="14.90625" style="161" customWidth="1"/>
    <col min="10508" max="10508" width="13.90625" style="161" bestFit="1" customWidth="1"/>
    <col min="10509" max="10511" width="9" style="161"/>
    <col min="10512" max="10513" width="12.90625" style="161" customWidth="1"/>
    <col min="10514" max="10514" width="17.7265625" style="161" customWidth="1"/>
    <col min="10515" max="10726" width="9" style="161"/>
    <col min="10727" max="10727" width="4.7265625" style="161" customWidth="1"/>
    <col min="10728" max="10728" width="8" style="161" bestFit="1" customWidth="1"/>
    <col min="10729" max="10729" width="20.26953125" style="161" customWidth="1"/>
    <col min="10730" max="10736" width="11.7265625" style="161" customWidth="1"/>
    <col min="10737" max="10737" width="13.90625" style="161" customWidth="1"/>
    <col min="10738" max="10739" width="11.7265625" style="161" customWidth="1"/>
    <col min="10740" max="10752" width="9" style="161"/>
    <col min="10753" max="10753" width="4.7265625" style="161" customWidth="1"/>
    <col min="10754" max="10754" width="9" style="161"/>
    <col min="10755" max="10755" width="28.08984375" style="161" customWidth="1"/>
    <col min="10756" max="10758" width="0" style="161" hidden="1" customWidth="1"/>
    <col min="10759" max="10761" width="18.90625" style="161" customWidth="1"/>
    <col min="10762" max="10762" width="11.08984375" style="161" bestFit="1" customWidth="1"/>
    <col min="10763" max="10763" width="14.90625" style="161" customWidth="1"/>
    <col min="10764" max="10764" width="13.90625" style="161" bestFit="1" customWidth="1"/>
    <col min="10765" max="10767" width="9" style="161"/>
    <col min="10768" max="10769" width="12.90625" style="161" customWidth="1"/>
    <col min="10770" max="10770" width="17.7265625" style="161" customWidth="1"/>
    <col min="10771" max="10982" width="9" style="161"/>
    <col min="10983" max="10983" width="4.7265625" style="161" customWidth="1"/>
    <col min="10984" max="10984" width="8" style="161" bestFit="1" customWidth="1"/>
    <col min="10985" max="10985" width="20.26953125" style="161" customWidth="1"/>
    <col min="10986" max="10992" width="11.7265625" style="161" customWidth="1"/>
    <col min="10993" max="10993" width="13.90625" style="161" customWidth="1"/>
    <col min="10994" max="10995" width="11.7265625" style="161" customWidth="1"/>
    <col min="10996" max="11008" width="9" style="161"/>
    <col min="11009" max="11009" width="4.7265625" style="161" customWidth="1"/>
    <col min="11010" max="11010" width="9" style="161"/>
    <col min="11011" max="11011" width="28.08984375" style="161" customWidth="1"/>
    <col min="11012" max="11014" width="0" style="161" hidden="1" customWidth="1"/>
    <col min="11015" max="11017" width="18.90625" style="161" customWidth="1"/>
    <col min="11018" max="11018" width="11.08984375" style="161" bestFit="1" customWidth="1"/>
    <col min="11019" max="11019" width="14.90625" style="161" customWidth="1"/>
    <col min="11020" max="11020" width="13.90625" style="161" bestFit="1" customWidth="1"/>
    <col min="11021" max="11023" width="9" style="161"/>
    <col min="11024" max="11025" width="12.90625" style="161" customWidth="1"/>
    <col min="11026" max="11026" width="17.7265625" style="161" customWidth="1"/>
    <col min="11027" max="11238" width="9" style="161"/>
    <col min="11239" max="11239" width="4.7265625" style="161" customWidth="1"/>
    <col min="11240" max="11240" width="8" style="161" bestFit="1" customWidth="1"/>
    <col min="11241" max="11241" width="20.26953125" style="161" customWidth="1"/>
    <col min="11242" max="11248" width="11.7265625" style="161" customWidth="1"/>
    <col min="11249" max="11249" width="13.90625" style="161" customWidth="1"/>
    <col min="11250" max="11251" width="11.7265625" style="161" customWidth="1"/>
    <col min="11252" max="11264" width="9" style="161"/>
    <col min="11265" max="11265" width="4.7265625" style="161" customWidth="1"/>
    <col min="11266" max="11266" width="9" style="161"/>
    <col min="11267" max="11267" width="28.08984375" style="161" customWidth="1"/>
    <col min="11268" max="11270" width="0" style="161" hidden="1" customWidth="1"/>
    <col min="11271" max="11273" width="18.90625" style="161" customWidth="1"/>
    <col min="11274" max="11274" width="11.08984375" style="161" bestFit="1" customWidth="1"/>
    <col min="11275" max="11275" width="14.90625" style="161" customWidth="1"/>
    <col min="11276" max="11276" width="13.90625" style="161" bestFit="1" customWidth="1"/>
    <col min="11277" max="11279" width="9" style="161"/>
    <col min="11280" max="11281" width="12.90625" style="161" customWidth="1"/>
    <col min="11282" max="11282" width="17.7265625" style="161" customWidth="1"/>
    <col min="11283" max="11494" width="9" style="161"/>
    <col min="11495" max="11495" width="4.7265625" style="161" customWidth="1"/>
    <col min="11496" max="11496" width="8" style="161" bestFit="1" customWidth="1"/>
    <col min="11497" max="11497" width="20.26953125" style="161" customWidth="1"/>
    <col min="11498" max="11504" width="11.7265625" style="161" customWidth="1"/>
    <col min="11505" max="11505" width="13.90625" style="161" customWidth="1"/>
    <col min="11506" max="11507" width="11.7265625" style="161" customWidth="1"/>
    <col min="11508" max="11520" width="9" style="161"/>
    <col min="11521" max="11521" width="4.7265625" style="161" customWidth="1"/>
    <col min="11522" max="11522" width="9" style="161"/>
    <col min="11523" max="11523" width="28.08984375" style="161" customWidth="1"/>
    <col min="11524" max="11526" width="0" style="161" hidden="1" customWidth="1"/>
    <col min="11527" max="11529" width="18.90625" style="161" customWidth="1"/>
    <col min="11530" max="11530" width="11.08984375" style="161" bestFit="1" customWidth="1"/>
    <col min="11531" max="11531" width="14.90625" style="161" customWidth="1"/>
    <col min="11532" max="11532" width="13.90625" style="161" bestFit="1" customWidth="1"/>
    <col min="11533" max="11535" width="9" style="161"/>
    <col min="11536" max="11537" width="12.90625" style="161" customWidth="1"/>
    <col min="11538" max="11538" width="17.7265625" style="161" customWidth="1"/>
    <col min="11539" max="11750" width="9" style="161"/>
    <col min="11751" max="11751" width="4.7265625" style="161" customWidth="1"/>
    <col min="11752" max="11752" width="8" style="161" bestFit="1" customWidth="1"/>
    <col min="11753" max="11753" width="20.26953125" style="161" customWidth="1"/>
    <col min="11754" max="11760" width="11.7265625" style="161" customWidth="1"/>
    <col min="11761" max="11761" width="13.90625" style="161" customWidth="1"/>
    <col min="11762" max="11763" width="11.7265625" style="161" customWidth="1"/>
    <col min="11764" max="11776" width="9" style="161"/>
    <col min="11777" max="11777" width="4.7265625" style="161" customWidth="1"/>
    <col min="11778" max="11778" width="9" style="161"/>
    <col min="11779" max="11779" width="28.08984375" style="161" customWidth="1"/>
    <col min="11780" max="11782" width="0" style="161" hidden="1" customWidth="1"/>
    <col min="11783" max="11785" width="18.90625" style="161" customWidth="1"/>
    <col min="11786" max="11786" width="11.08984375" style="161" bestFit="1" customWidth="1"/>
    <col min="11787" max="11787" width="14.90625" style="161" customWidth="1"/>
    <col min="11788" max="11788" width="13.90625" style="161" bestFit="1" customWidth="1"/>
    <col min="11789" max="11791" width="9" style="161"/>
    <col min="11792" max="11793" width="12.90625" style="161" customWidth="1"/>
    <col min="11794" max="11794" width="17.7265625" style="161" customWidth="1"/>
    <col min="11795" max="12006" width="9" style="161"/>
    <col min="12007" max="12007" width="4.7265625" style="161" customWidth="1"/>
    <col min="12008" max="12008" width="8" style="161" bestFit="1" customWidth="1"/>
    <col min="12009" max="12009" width="20.26953125" style="161" customWidth="1"/>
    <col min="12010" max="12016" width="11.7265625" style="161" customWidth="1"/>
    <col min="12017" max="12017" width="13.90625" style="161" customWidth="1"/>
    <col min="12018" max="12019" width="11.7265625" style="161" customWidth="1"/>
    <col min="12020" max="12032" width="9" style="161"/>
    <col min="12033" max="12033" width="4.7265625" style="161" customWidth="1"/>
    <col min="12034" max="12034" width="9" style="161"/>
    <col min="12035" max="12035" width="28.08984375" style="161" customWidth="1"/>
    <col min="12036" max="12038" width="0" style="161" hidden="1" customWidth="1"/>
    <col min="12039" max="12041" width="18.90625" style="161" customWidth="1"/>
    <col min="12042" max="12042" width="11.08984375" style="161" bestFit="1" customWidth="1"/>
    <col min="12043" max="12043" width="14.90625" style="161" customWidth="1"/>
    <col min="12044" max="12044" width="13.90625" style="161" bestFit="1" customWidth="1"/>
    <col min="12045" max="12047" width="9" style="161"/>
    <col min="12048" max="12049" width="12.90625" style="161" customWidth="1"/>
    <col min="12050" max="12050" width="17.7265625" style="161" customWidth="1"/>
    <col min="12051" max="12262" width="9" style="161"/>
    <col min="12263" max="12263" width="4.7265625" style="161" customWidth="1"/>
    <col min="12264" max="12264" width="8" style="161" bestFit="1" customWidth="1"/>
    <col min="12265" max="12265" width="20.26953125" style="161" customWidth="1"/>
    <col min="12266" max="12272" width="11.7265625" style="161" customWidth="1"/>
    <col min="12273" max="12273" width="13.90625" style="161" customWidth="1"/>
    <col min="12274" max="12275" width="11.7265625" style="161" customWidth="1"/>
    <col min="12276" max="12288" width="9" style="161"/>
    <col min="12289" max="12289" width="4.7265625" style="161" customWidth="1"/>
    <col min="12290" max="12290" width="9" style="161"/>
    <col min="12291" max="12291" width="28.08984375" style="161" customWidth="1"/>
    <col min="12292" max="12294" width="0" style="161" hidden="1" customWidth="1"/>
    <col min="12295" max="12297" width="18.90625" style="161" customWidth="1"/>
    <col min="12298" max="12298" width="11.08984375" style="161" bestFit="1" customWidth="1"/>
    <col min="12299" max="12299" width="14.90625" style="161" customWidth="1"/>
    <col min="12300" max="12300" width="13.90625" style="161" bestFit="1" customWidth="1"/>
    <col min="12301" max="12303" width="9" style="161"/>
    <col min="12304" max="12305" width="12.90625" style="161" customWidth="1"/>
    <col min="12306" max="12306" width="17.7265625" style="161" customWidth="1"/>
    <col min="12307" max="12518" width="9" style="161"/>
    <col min="12519" max="12519" width="4.7265625" style="161" customWidth="1"/>
    <col min="12520" max="12520" width="8" style="161" bestFit="1" customWidth="1"/>
    <col min="12521" max="12521" width="20.26953125" style="161" customWidth="1"/>
    <col min="12522" max="12528" width="11.7265625" style="161" customWidth="1"/>
    <col min="12529" max="12529" width="13.90625" style="161" customWidth="1"/>
    <col min="12530" max="12531" width="11.7265625" style="161" customWidth="1"/>
    <col min="12532" max="12544" width="9" style="161"/>
    <col min="12545" max="12545" width="4.7265625" style="161" customWidth="1"/>
    <col min="12546" max="12546" width="9" style="161"/>
    <col min="12547" max="12547" width="28.08984375" style="161" customWidth="1"/>
    <col min="12548" max="12550" width="0" style="161" hidden="1" customWidth="1"/>
    <col min="12551" max="12553" width="18.90625" style="161" customWidth="1"/>
    <col min="12554" max="12554" width="11.08984375" style="161" bestFit="1" customWidth="1"/>
    <col min="12555" max="12555" width="14.90625" style="161" customWidth="1"/>
    <col min="12556" max="12556" width="13.90625" style="161" bestFit="1" customWidth="1"/>
    <col min="12557" max="12559" width="9" style="161"/>
    <col min="12560" max="12561" width="12.90625" style="161" customWidth="1"/>
    <col min="12562" max="12562" width="17.7265625" style="161" customWidth="1"/>
    <col min="12563" max="12774" width="9" style="161"/>
    <col min="12775" max="12775" width="4.7265625" style="161" customWidth="1"/>
    <col min="12776" max="12776" width="8" style="161" bestFit="1" customWidth="1"/>
    <col min="12777" max="12777" width="20.26953125" style="161" customWidth="1"/>
    <col min="12778" max="12784" width="11.7265625" style="161" customWidth="1"/>
    <col min="12785" max="12785" width="13.90625" style="161" customWidth="1"/>
    <col min="12786" max="12787" width="11.7265625" style="161" customWidth="1"/>
    <col min="12788" max="12800" width="9" style="161"/>
    <col min="12801" max="12801" width="4.7265625" style="161" customWidth="1"/>
    <col min="12802" max="12802" width="9" style="161"/>
    <col min="12803" max="12803" width="28.08984375" style="161" customWidth="1"/>
    <col min="12804" max="12806" width="0" style="161" hidden="1" customWidth="1"/>
    <col min="12807" max="12809" width="18.90625" style="161" customWidth="1"/>
    <col min="12810" max="12810" width="11.08984375" style="161" bestFit="1" customWidth="1"/>
    <col min="12811" max="12811" width="14.90625" style="161" customWidth="1"/>
    <col min="12812" max="12812" width="13.90625" style="161" bestFit="1" customWidth="1"/>
    <col min="12813" max="12815" width="9" style="161"/>
    <col min="12816" max="12817" width="12.90625" style="161" customWidth="1"/>
    <col min="12818" max="12818" width="17.7265625" style="161" customWidth="1"/>
    <col min="12819" max="13030" width="9" style="161"/>
    <col min="13031" max="13031" width="4.7265625" style="161" customWidth="1"/>
    <col min="13032" max="13032" width="8" style="161" bestFit="1" customWidth="1"/>
    <col min="13033" max="13033" width="20.26953125" style="161" customWidth="1"/>
    <col min="13034" max="13040" width="11.7265625" style="161" customWidth="1"/>
    <col min="13041" max="13041" width="13.90625" style="161" customWidth="1"/>
    <col min="13042" max="13043" width="11.7265625" style="161" customWidth="1"/>
    <col min="13044" max="13056" width="9" style="161"/>
    <col min="13057" max="13057" width="4.7265625" style="161" customWidth="1"/>
    <col min="13058" max="13058" width="9" style="161"/>
    <col min="13059" max="13059" width="28.08984375" style="161" customWidth="1"/>
    <col min="13060" max="13062" width="0" style="161" hidden="1" customWidth="1"/>
    <col min="13063" max="13065" width="18.90625" style="161" customWidth="1"/>
    <col min="13066" max="13066" width="11.08984375" style="161" bestFit="1" customWidth="1"/>
    <col min="13067" max="13067" width="14.90625" style="161" customWidth="1"/>
    <col min="13068" max="13068" width="13.90625" style="161" bestFit="1" customWidth="1"/>
    <col min="13069" max="13071" width="9" style="161"/>
    <col min="13072" max="13073" width="12.90625" style="161" customWidth="1"/>
    <col min="13074" max="13074" width="17.7265625" style="161" customWidth="1"/>
    <col min="13075" max="13286" width="9" style="161"/>
    <col min="13287" max="13287" width="4.7265625" style="161" customWidth="1"/>
    <col min="13288" max="13288" width="8" style="161" bestFit="1" customWidth="1"/>
    <col min="13289" max="13289" width="20.26953125" style="161" customWidth="1"/>
    <col min="13290" max="13296" width="11.7265625" style="161" customWidth="1"/>
    <col min="13297" max="13297" width="13.90625" style="161" customWidth="1"/>
    <col min="13298" max="13299" width="11.7265625" style="161" customWidth="1"/>
    <col min="13300" max="13312" width="9" style="161"/>
    <col min="13313" max="13313" width="4.7265625" style="161" customWidth="1"/>
    <col min="13314" max="13314" width="9" style="161"/>
    <col min="13315" max="13315" width="28.08984375" style="161" customWidth="1"/>
    <col min="13316" max="13318" width="0" style="161" hidden="1" customWidth="1"/>
    <col min="13319" max="13321" width="18.90625" style="161" customWidth="1"/>
    <col min="13322" max="13322" width="11.08984375" style="161" bestFit="1" customWidth="1"/>
    <col min="13323" max="13323" width="14.90625" style="161" customWidth="1"/>
    <col min="13324" max="13324" width="13.90625" style="161" bestFit="1" customWidth="1"/>
    <col min="13325" max="13327" width="9" style="161"/>
    <col min="13328" max="13329" width="12.90625" style="161" customWidth="1"/>
    <col min="13330" max="13330" width="17.7265625" style="161" customWidth="1"/>
    <col min="13331" max="13542" width="9" style="161"/>
    <col min="13543" max="13543" width="4.7265625" style="161" customWidth="1"/>
    <col min="13544" max="13544" width="8" style="161" bestFit="1" customWidth="1"/>
    <col min="13545" max="13545" width="20.26953125" style="161" customWidth="1"/>
    <col min="13546" max="13552" width="11.7265625" style="161" customWidth="1"/>
    <col min="13553" max="13553" width="13.90625" style="161" customWidth="1"/>
    <col min="13554" max="13555" width="11.7265625" style="161" customWidth="1"/>
    <col min="13556" max="13568" width="9" style="161"/>
    <col min="13569" max="13569" width="4.7265625" style="161" customWidth="1"/>
    <col min="13570" max="13570" width="9" style="161"/>
    <col min="13571" max="13571" width="28.08984375" style="161" customWidth="1"/>
    <col min="13572" max="13574" width="0" style="161" hidden="1" customWidth="1"/>
    <col min="13575" max="13577" width="18.90625" style="161" customWidth="1"/>
    <col min="13578" max="13578" width="11.08984375" style="161" bestFit="1" customWidth="1"/>
    <col min="13579" max="13579" width="14.90625" style="161" customWidth="1"/>
    <col min="13580" max="13580" width="13.90625" style="161" bestFit="1" customWidth="1"/>
    <col min="13581" max="13583" width="9" style="161"/>
    <col min="13584" max="13585" width="12.90625" style="161" customWidth="1"/>
    <col min="13586" max="13586" width="17.7265625" style="161" customWidth="1"/>
    <col min="13587" max="13798" width="9" style="161"/>
    <col min="13799" max="13799" width="4.7265625" style="161" customWidth="1"/>
    <col min="13800" max="13800" width="8" style="161" bestFit="1" customWidth="1"/>
    <col min="13801" max="13801" width="20.26953125" style="161" customWidth="1"/>
    <col min="13802" max="13808" width="11.7265625" style="161" customWidth="1"/>
    <col min="13809" max="13809" width="13.90625" style="161" customWidth="1"/>
    <col min="13810" max="13811" width="11.7265625" style="161" customWidth="1"/>
    <col min="13812" max="13824" width="9" style="161"/>
    <col min="13825" max="13825" width="4.7265625" style="161" customWidth="1"/>
    <col min="13826" max="13826" width="9" style="161"/>
    <col min="13827" max="13827" width="28.08984375" style="161" customWidth="1"/>
    <col min="13828" max="13830" width="0" style="161" hidden="1" customWidth="1"/>
    <col min="13831" max="13833" width="18.90625" style="161" customWidth="1"/>
    <col min="13834" max="13834" width="11.08984375" style="161" bestFit="1" customWidth="1"/>
    <col min="13835" max="13835" width="14.90625" style="161" customWidth="1"/>
    <col min="13836" max="13836" width="13.90625" style="161" bestFit="1" customWidth="1"/>
    <col min="13837" max="13839" width="9" style="161"/>
    <col min="13840" max="13841" width="12.90625" style="161" customWidth="1"/>
    <col min="13842" max="13842" width="17.7265625" style="161" customWidth="1"/>
    <col min="13843" max="14054" width="9" style="161"/>
    <col min="14055" max="14055" width="4.7265625" style="161" customWidth="1"/>
    <col min="14056" max="14056" width="8" style="161" bestFit="1" customWidth="1"/>
    <col min="14057" max="14057" width="20.26953125" style="161" customWidth="1"/>
    <col min="14058" max="14064" width="11.7265625" style="161" customWidth="1"/>
    <col min="14065" max="14065" width="13.90625" style="161" customWidth="1"/>
    <col min="14066" max="14067" width="11.7265625" style="161" customWidth="1"/>
    <col min="14068" max="14080" width="9" style="161"/>
    <col min="14081" max="14081" width="4.7265625" style="161" customWidth="1"/>
    <col min="14082" max="14082" width="9" style="161"/>
    <col min="14083" max="14083" width="28.08984375" style="161" customWidth="1"/>
    <col min="14084" max="14086" width="0" style="161" hidden="1" customWidth="1"/>
    <col min="14087" max="14089" width="18.90625" style="161" customWidth="1"/>
    <col min="14090" max="14090" width="11.08984375" style="161" bestFit="1" customWidth="1"/>
    <col min="14091" max="14091" width="14.90625" style="161" customWidth="1"/>
    <col min="14092" max="14092" width="13.90625" style="161" bestFit="1" customWidth="1"/>
    <col min="14093" max="14095" width="9" style="161"/>
    <col min="14096" max="14097" width="12.90625" style="161" customWidth="1"/>
    <col min="14098" max="14098" width="17.7265625" style="161" customWidth="1"/>
    <col min="14099" max="14310" width="9" style="161"/>
    <col min="14311" max="14311" width="4.7265625" style="161" customWidth="1"/>
    <col min="14312" max="14312" width="8" style="161" bestFit="1" customWidth="1"/>
    <col min="14313" max="14313" width="20.26953125" style="161" customWidth="1"/>
    <col min="14314" max="14320" width="11.7265625" style="161" customWidth="1"/>
    <col min="14321" max="14321" width="13.90625" style="161" customWidth="1"/>
    <col min="14322" max="14323" width="11.7265625" style="161" customWidth="1"/>
    <col min="14324" max="14336" width="9" style="161"/>
    <col min="14337" max="14337" width="4.7265625" style="161" customWidth="1"/>
    <col min="14338" max="14338" width="9" style="161"/>
    <col min="14339" max="14339" width="28.08984375" style="161" customWidth="1"/>
    <col min="14340" max="14342" width="0" style="161" hidden="1" customWidth="1"/>
    <col min="14343" max="14345" width="18.90625" style="161" customWidth="1"/>
    <col min="14346" max="14346" width="11.08984375" style="161" bestFit="1" customWidth="1"/>
    <col min="14347" max="14347" width="14.90625" style="161" customWidth="1"/>
    <col min="14348" max="14348" width="13.90625" style="161" bestFit="1" customWidth="1"/>
    <col min="14349" max="14351" width="9" style="161"/>
    <col min="14352" max="14353" width="12.90625" style="161" customWidth="1"/>
    <col min="14354" max="14354" width="17.7265625" style="161" customWidth="1"/>
    <col min="14355" max="14566" width="9" style="161"/>
    <col min="14567" max="14567" width="4.7265625" style="161" customWidth="1"/>
    <col min="14568" max="14568" width="8" style="161" bestFit="1" customWidth="1"/>
    <col min="14569" max="14569" width="20.26953125" style="161" customWidth="1"/>
    <col min="14570" max="14576" width="11.7265625" style="161" customWidth="1"/>
    <col min="14577" max="14577" width="13.90625" style="161" customWidth="1"/>
    <col min="14578" max="14579" width="11.7265625" style="161" customWidth="1"/>
    <col min="14580" max="14592" width="9" style="161"/>
    <col min="14593" max="14593" width="4.7265625" style="161" customWidth="1"/>
    <col min="14594" max="14594" width="9" style="161"/>
    <col min="14595" max="14595" width="28.08984375" style="161" customWidth="1"/>
    <col min="14596" max="14598" width="0" style="161" hidden="1" customWidth="1"/>
    <col min="14599" max="14601" width="18.90625" style="161" customWidth="1"/>
    <col min="14602" max="14602" width="11.08984375" style="161" bestFit="1" customWidth="1"/>
    <col min="14603" max="14603" width="14.90625" style="161" customWidth="1"/>
    <col min="14604" max="14604" width="13.90625" style="161" bestFit="1" customWidth="1"/>
    <col min="14605" max="14607" width="9" style="161"/>
    <col min="14608" max="14609" width="12.90625" style="161" customWidth="1"/>
    <col min="14610" max="14610" width="17.7265625" style="161" customWidth="1"/>
    <col min="14611" max="14822" width="9" style="161"/>
    <col min="14823" max="14823" width="4.7265625" style="161" customWidth="1"/>
    <col min="14824" max="14824" width="8" style="161" bestFit="1" customWidth="1"/>
    <col min="14825" max="14825" width="20.26953125" style="161" customWidth="1"/>
    <col min="14826" max="14832" width="11.7265625" style="161" customWidth="1"/>
    <col min="14833" max="14833" width="13.90625" style="161" customWidth="1"/>
    <col min="14834" max="14835" width="11.7265625" style="161" customWidth="1"/>
    <col min="14836" max="14848" width="9" style="161"/>
    <col min="14849" max="14849" width="4.7265625" style="161" customWidth="1"/>
    <col min="14850" max="14850" width="9" style="161"/>
    <col min="14851" max="14851" width="28.08984375" style="161" customWidth="1"/>
    <col min="14852" max="14854" width="0" style="161" hidden="1" customWidth="1"/>
    <col min="14855" max="14857" width="18.90625" style="161" customWidth="1"/>
    <col min="14858" max="14858" width="11.08984375" style="161" bestFit="1" customWidth="1"/>
    <col min="14859" max="14859" width="14.90625" style="161" customWidth="1"/>
    <col min="14860" max="14860" width="13.90625" style="161" bestFit="1" customWidth="1"/>
    <col min="14861" max="14863" width="9" style="161"/>
    <col min="14864" max="14865" width="12.90625" style="161" customWidth="1"/>
    <col min="14866" max="14866" width="17.7265625" style="161" customWidth="1"/>
    <col min="14867" max="15078" width="9" style="161"/>
    <col min="15079" max="15079" width="4.7265625" style="161" customWidth="1"/>
    <col min="15080" max="15080" width="8" style="161" bestFit="1" customWidth="1"/>
    <col min="15081" max="15081" width="20.26953125" style="161" customWidth="1"/>
    <col min="15082" max="15088" width="11.7265625" style="161" customWidth="1"/>
    <col min="15089" max="15089" width="13.90625" style="161" customWidth="1"/>
    <col min="15090" max="15091" width="11.7265625" style="161" customWidth="1"/>
    <col min="15092" max="15104" width="9" style="161"/>
    <col min="15105" max="15105" width="4.7265625" style="161" customWidth="1"/>
    <col min="15106" max="15106" width="9" style="161"/>
    <col min="15107" max="15107" width="28.08984375" style="161" customWidth="1"/>
    <col min="15108" max="15110" width="0" style="161" hidden="1" customWidth="1"/>
    <col min="15111" max="15113" width="18.90625" style="161" customWidth="1"/>
    <col min="15114" max="15114" width="11.08984375" style="161" bestFit="1" customWidth="1"/>
    <col min="15115" max="15115" width="14.90625" style="161" customWidth="1"/>
    <col min="15116" max="15116" width="13.90625" style="161" bestFit="1" customWidth="1"/>
    <col min="15117" max="15119" width="9" style="161"/>
    <col min="15120" max="15121" width="12.90625" style="161" customWidth="1"/>
    <col min="15122" max="15122" width="17.7265625" style="161" customWidth="1"/>
    <col min="15123" max="15334" width="9" style="161"/>
    <col min="15335" max="15335" width="4.7265625" style="161" customWidth="1"/>
    <col min="15336" max="15336" width="8" style="161" bestFit="1" customWidth="1"/>
    <col min="15337" max="15337" width="20.26953125" style="161" customWidth="1"/>
    <col min="15338" max="15344" width="11.7265625" style="161" customWidth="1"/>
    <col min="15345" max="15345" width="13.90625" style="161" customWidth="1"/>
    <col min="15346" max="15347" width="11.7265625" style="161" customWidth="1"/>
    <col min="15348" max="15360" width="9" style="161"/>
    <col min="15361" max="15361" width="4.7265625" style="161" customWidth="1"/>
    <col min="15362" max="15362" width="9" style="161"/>
    <col min="15363" max="15363" width="28.08984375" style="161" customWidth="1"/>
    <col min="15364" max="15366" width="0" style="161" hidden="1" customWidth="1"/>
    <col min="15367" max="15369" width="18.90625" style="161" customWidth="1"/>
    <col min="15370" max="15370" width="11.08984375" style="161" bestFit="1" customWidth="1"/>
    <col min="15371" max="15371" width="14.90625" style="161" customWidth="1"/>
    <col min="15372" max="15372" width="13.90625" style="161" bestFit="1" customWidth="1"/>
    <col min="15373" max="15375" width="9" style="161"/>
    <col min="15376" max="15377" width="12.90625" style="161" customWidth="1"/>
    <col min="15378" max="15378" width="17.7265625" style="161" customWidth="1"/>
    <col min="15379" max="15590" width="9" style="161"/>
    <col min="15591" max="15591" width="4.7265625" style="161" customWidth="1"/>
    <col min="15592" max="15592" width="8" style="161" bestFit="1" customWidth="1"/>
    <col min="15593" max="15593" width="20.26953125" style="161" customWidth="1"/>
    <col min="15594" max="15600" width="11.7265625" style="161" customWidth="1"/>
    <col min="15601" max="15601" width="13.90625" style="161" customWidth="1"/>
    <col min="15602" max="15603" width="11.7265625" style="161" customWidth="1"/>
    <col min="15604" max="15616" width="9" style="161"/>
    <col min="15617" max="15617" width="4.7265625" style="161" customWidth="1"/>
    <col min="15618" max="15618" width="9" style="161"/>
    <col min="15619" max="15619" width="28.08984375" style="161" customWidth="1"/>
    <col min="15620" max="15622" width="0" style="161" hidden="1" customWidth="1"/>
    <col min="15623" max="15625" width="18.90625" style="161" customWidth="1"/>
    <col min="15626" max="15626" width="11.08984375" style="161" bestFit="1" customWidth="1"/>
    <col min="15627" max="15627" width="14.90625" style="161" customWidth="1"/>
    <col min="15628" max="15628" width="13.90625" style="161" bestFit="1" customWidth="1"/>
    <col min="15629" max="15631" width="9" style="161"/>
    <col min="15632" max="15633" width="12.90625" style="161" customWidth="1"/>
    <col min="15634" max="15634" width="17.7265625" style="161" customWidth="1"/>
    <col min="15635" max="15846" width="9" style="161"/>
    <col min="15847" max="15847" width="4.7265625" style="161" customWidth="1"/>
    <col min="15848" max="15848" width="8" style="161" bestFit="1" customWidth="1"/>
    <col min="15849" max="15849" width="20.26953125" style="161" customWidth="1"/>
    <col min="15850" max="15856" width="11.7265625" style="161" customWidth="1"/>
    <col min="15857" max="15857" width="13.90625" style="161" customWidth="1"/>
    <col min="15858" max="15859" width="11.7265625" style="161" customWidth="1"/>
    <col min="15860" max="15872" width="9" style="161"/>
    <col min="15873" max="15873" width="4.7265625" style="161" customWidth="1"/>
    <col min="15874" max="15874" width="9" style="161"/>
    <col min="15875" max="15875" width="28.08984375" style="161" customWidth="1"/>
    <col min="15876" max="15878" width="0" style="161" hidden="1" customWidth="1"/>
    <col min="15879" max="15881" width="18.90625" style="161" customWidth="1"/>
    <col min="15882" max="15882" width="11.08984375" style="161" bestFit="1" customWidth="1"/>
    <col min="15883" max="15883" width="14.90625" style="161" customWidth="1"/>
    <col min="15884" max="15884" width="13.90625" style="161" bestFit="1" customWidth="1"/>
    <col min="15885" max="15887" width="9" style="161"/>
    <col min="15888" max="15889" width="12.90625" style="161" customWidth="1"/>
    <col min="15890" max="15890" width="17.7265625" style="161" customWidth="1"/>
    <col min="15891" max="16102" width="9" style="161"/>
    <col min="16103" max="16103" width="4.7265625" style="161" customWidth="1"/>
    <col min="16104" max="16104" width="8" style="161" bestFit="1" customWidth="1"/>
    <col min="16105" max="16105" width="20.26953125" style="161" customWidth="1"/>
    <col min="16106" max="16112" width="11.7265625" style="161" customWidth="1"/>
    <col min="16113" max="16113" width="13.90625" style="161" customWidth="1"/>
    <col min="16114" max="16115" width="11.7265625" style="161" customWidth="1"/>
    <col min="16116" max="16128" width="9" style="161"/>
    <col min="16129" max="16129" width="4.7265625" style="161" customWidth="1"/>
    <col min="16130" max="16130" width="9" style="161"/>
    <col min="16131" max="16131" width="28.08984375" style="161" customWidth="1"/>
    <col min="16132" max="16134" width="0" style="161" hidden="1" customWidth="1"/>
    <col min="16135" max="16137" width="18.90625" style="161" customWidth="1"/>
    <col min="16138" max="16138" width="11.08984375" style="161" bestFit="1" customWidth="1"/>
    <col min="16139" max="16139" width="14.90625" style="161" customWidth="1"/>
    <col min="16140" max="16140" width="13.90625" style="161" bestFit="1" customWidth="1"/>
    <col min="16141" max="16143" width="9" style="161"/>
    <col min="16144" max="16145" width="12.90625" style="161" customWidth="1"/>
    <col min="16146" max="16146" width="17.7265625" style="161" customWidth="1"/>
    <col min="16147" max="16358" width="9" style="161"/>
    <col min="16359" max="16359" width="4.7265625" style="161" customWidth="1"/>
    <col min="16360" max="16360" width="8" style="161" bestFit="1" customWidth="1"/>
    <col min="16361" max="16361" width="20.26953125" style="161" customWidth="1"/>
    <col min="16362" max="16368" width="11.7265625" style="161" customWidth="1"/>
    <col min="16369" max="16369" width="13.90625" style="161" customWidth="1"/>
    <col min="16370" max="16371" width="11.7265625" style="161" customWidth="1"/>
    <col min="16372" max="16384" width="9" style="161"/>
  </cols>
  <sheetData>
    <row r="1" spans="1:18" ht="23">
      <c r="A1" s="456" t="s">
        <v>355</v>
      </c>
      <c r="B1" s="456"/>
      <c r="C1" s="456"/>
      <c r="D1" s="456"/>
      <c r="E1" s="456"/>
      <c r="F1" s="456"/>
      <c r="G1" s="456"/>
      <c r="H1" s="456"/>
      <c r="I1" s="456"/>
    </row>
    <row r="2" spans="1:18">
      <c r="A2" s="456" t="s">
        <v>380</v>
      </c>
      <c r="B2" s="456"/>
      <c r="C2" s="456"/>
      <c r="D2" s="456"/>
      <c r="E2" s="456"/>
      <c r="F2" s="456"/>
      <c r="G2" s="456"/>
      <c r="H2" s="456"/>
      <c r="I2" s="456"/>
    </row>
    <row r="3" spans="1:18">
      <c r="A3" s="162"/>
      <c r="B3" s="162"/>
      <c r="C3" s="162"/>
      <c r="D3" s="162"/>
      <c r="E3" s="162"/>
      <c r="F3" s="162"/>
      <c r="G3" s="162"/>
      <c r="H3" s="162"/>
      <c r="I3" s="163" t="s">
        <v>356</v>
      </c>
    </row>
    <row r="4" spans="1:18" ht="16" thickBot="1">
      <c r="A4" s="164" t="s">
        <v>386</v>
      </c>
      <c r="B4" s="162"/>
      <c r="C4" s="162"/>
      <c r="D4" s="162"/>
      <c r="E4" s="162"/>
      <c r="F4" s="162"/>
      <c r="G4" s="162"/>
      <c r="H4" s="162"/>
      <c r="I4" s="165" t="s">
        <v>243</v>
      </c>
      <c r="P4"/>
      <c r="Q4"/>
      <c r="R4"/>
    </row>
    <row r="5" spans="1:18" ht="16" thickTop="1">
      <c r="A5" s="457" t="s">
        <v>56</v>
      </c>
      <c r="B5" s="459" t="s">
        <v>357</v>
      </c>
      <c r="C5" s="459"/>
      <c r="D5" s="459" t="s">
        <v>358</v>
      </c>
      <c r="E5" s="459"/>
      <c r="F5" s="461"/>
      <c r="G5" s="462" t="s">
        <v>359</v>
      </c>
      <c r="H5" s="463"/>
      <c r="I5" s="464"/>
      <c r="P5"/>
      <c r="Q5"/>
      <c r="R5"/>
    </row>
    <row r="6" spans="1:18" ht="30">
      <c r="A6" s="458"/>
      <c r="B6" s="460"/>
      <c r="C6" s="460"/>
      <c r="D6" s="166" t="s">
        <v>360</v>
      </c>
      <c r="E6" s="166" t="s">
        <v>361</v>
      </c>
      <c r="F6" s="167" t="s">
        <v>362</v>
      </c>
      <c r="G6" s="168" t="str">
        <f>D6</f>
        <v>NOIAT
比率乘数</v>
      </c>
      <c r="H6" s="166" t="str">
        <f>E6</f>
        <v>EBIT
比率乘数</v>
      </c>
      <c r="I6" s="167" t="str">
        <f>F6</f>
        <v>EBITDA
比率乘数</v>
      </c>
      <c r="P6"/>
      <c r="Q6"/>
      <c r="R6"/>
    </row>
    <row r="7" spans="1:18" ht="34.5" customHeight="1">
      <c r="A7" s="169">
        <f t="shared" ref="A7:A17" si="0">ROW()-6</f>
        <v>1</v>
      </c>
      <c r="B7" s="469" t="s">
        <v>363</v>
      </c>
      <c r="C7" s="469"/>
      <c r="D7" s="170" t="e">
        <f>#REF!</f>
        <v>#REF!</v>
      </c>
      <c r="E7" s="170" t="e">
        <f>#REF!</f>
        <v>#REF!</v>
      </c>
      <c r="F7" s="171" t="e">
        <f>#REF!</f>
        <v>#REF!</v>
      </c>
      <c r="G7" s="197" t="e">
        <f>'2-交易案例比较法'!#REF!*0.9</f>
        <v>#REF!</v>
      </c>
      <c r="H7" s="198"/>
      <c r="I7" s="196" t="e">
        <f>'2-交易案例比较法'!#REF!*0.9</f>
        <v>#REF!</v>
      </c>
      <c r="K7" s="161" t="e">
        <f>I7*I8</f>
        <v>#REF!</v>
      </c>
      <c r="P7"/>
      <c r="Q7"/>
      <c r="R7"/>
    </row>
    <row r="8" spans="1:18" ht="34.5" customHeight="1">
      <c r="A8" s="169">
        <f t="shared" si="0"/>
        <v>2</v>
      </c>
      <c r="B8" s="469" t="s">
        <v>364</v>
      </c>
      <c r="C8" s="469"/>
      <c r="D8" s="170">
        <v>42257.767978874996</v>
      </c>
      <c r="E8" s="170">
        <v>2980.4170664999974</v>
      </c>
      <c r="F8" s="171">
        <v>43002.872245499995</v>
      </c>
      <c r="G8" s="208" t="e">
        <f>#REF!/2</f>
        <v>#REF!</v>
      </c>
      <c r="H8" s="209" t="e">
        <f>#REF!</f>
        <v>#REF!</v>
      </c>
      <c r="I8" s="210" t="e">
        <f>#REF!/2</f>
        <v>#REF!</v>
      </c>
      <c r="K8"/>
      <c r="P8"/>
      <c r="Q8"/>
      <c r="R8"/>
    </row>
    <row r="9" spans="1:18" ht="34.5" customHeight="1">
      <c r="A9" s="169">
        <f t="shared" si="0"/>
        <v>3</v>
      </c>
      <c r="B9" s="469" t="s">
        <v>365</v>
      </c>
      <c r="C9" s="469"/>
      <c r="D9" s="170" t="e">
        <f t="shared" ref="D9:H9" si="1">D7*D8</f>
        <v>#REF!</v>
      </c>
      <c r="E9" s="170" t="e">
        <f t="shared" si="1"/>
        <v>#REF!</v>
      </c>
      <c r="F9" s="171" t="e">
        <f t="shared" si="1"/>
        <v>#REF!</v>
      </c>
      <c r="G9" s="173" t="e">
        <f>G7*G8</f>
        <v>#REF!</v>
      </c>
      <c r="H9" s="170" t="e">
        <f t="shared" si="1"/>
        <v>#REF!</v>
      </c>
      <c r="I9" s="172" t="e">
        <f>I7*I8</f>
        <v>#REF!</v>
      </c>
      <c r="K9" t="s">
        <v>366</v>
      </c>
      <c r="L9" s="174" t="e">
        <f>D17</f>
        <v>#REF!</v>
      </c>
      <c r="O9" s="161" t="s">
        <v>367</v>
      </c>
      <c r="P9"/>
      <c r="Q9"/>
      <c r="R9"/>
    </row>
    <row r="10" spans="1:18" ht="34.5" customHeight="1">
      <c r="A10" s="169">
        <f t="shared" si="0"/>
        <v>4</v>
      </c>
      <c r="B10" s="470" t="s">
        <v>368</v>
      </c>
      <c r="C10" s="471"/>
      <c r="D10" s="170">
        <f>H10</f>
        <v>351047.7</v>
      </c>
      <c r="E10" s="170">
        <f>I10</f>
        <v>351047.7</v>
      </c>
      <c r="F10" s="171">
        <v>0</v>
      </c>
      <c r="G10" s="173">
        <f>L12</f>
        <v>351047.7</v>
      </c>
      <c r="H10" s="170">
        <f>G10</f>
        <v>351047.7</v>
      </c>
      <c r="I10" s="172">
        <f>H10</f>
        <v>351047.7</v>
      </c>
      <c r="K10" t="s">
        <v>369</v>
      </c>
      <c r="L10" s="174" t="e">
        <f>L9*L11</f>
        <v>#REF!</v>
      </c>
      <c r="N10" s="175"/>
      <c r="O10" s="161" t="s">
        <v>370</v>
      </c>
      <c r="P10"/>
      <c r="Q10"/>
      <c r="R10"/>
    </row>
    <row r="11" spans="1:18" ht="34.5" customHeight="1">
      <c r="A11" s="169">
        <v>5</v>
      </c>
      <c r="B11" s="472" t="s">
        <v>371</v>
      </c>
      <c r="C11" s="469"/>
      <c r="D11" s="170" t="e">
        <f t="shared" ref="D11:F11" si="2">D9-D10</f>
        <v>#REF!</v>
      </c>
      <c r="E11" s="170" t="e">
        <f t="shared" si="2"/>
        <v>#REF!</v>
      </c>
      <c r="F11" s="171" t="e">
        <f t="shared" si="2"/>
        <v>#REF!</v>
      </c>
      <c r="G11" s="173" t="e">
        <f>G9-G10</f>
        <v>#REF!</v>
      </c>
      <c r="H11" s="170"/>
      <c r="I11" s="172" t="e">
        <f>I9-I10</f>
        <v>#REF!</v>
      </c>
      <c r="K11" t="s">
        <v>372</v>
      </c>
      <c r="L11" s="176" t="e">
        <f>指标参数全表!H26</f>
        <v>#REF!</v>
      </c>
      <c r="N11"/>
      <c r="O11"/>
      <c r="P11"/>
      <c r="Q11"/>
      <c r="R11"/>
    </row>
    <row r="12" spans="1:18" ht="34.5" customHeight="1">
      <c r="A12" s="169">
        <v>6</v>
      </c>
      <c r="B12" s="470" t="s">
        <v>74</v>
      </c>
      <c r="C12" s="471"/>
      <c r="D12" s="177">
        <v>0.16350000000000001</v>
      </c>
      <c r="E12" s="177">
        <v>0.16350000000000001</v>
      </c>
      <c r="F12" s="178">
        <v>0.16350000000000001</v>
      </c>
      <c r="G12" s="179">
        <v>0.22082502037714991</v>
      </c>
      <c r="H12" s="177">
        <f>G12</f>
        <v>0.22082502037714991</v>
      </c>
      <c r="I12" s="180">
        <f>H12</f>
        <v>0.22082502037714991</v>
      </c>
      <c r="K12" t="s">
        <v>373</v>
      </c>
      <c r="L12" s="174">
        <v>351047.7</v>
      </c>
      <c r="N12" s="204">
        <v>0.65</v>
      </c>
      <c r="P12"/>
      <c r="Q12"/>
      <c r="R12"/>
    </row>
    <row r="13" spans="1:18" ht="34.5" customHeight="1">
      <c r="A13" s="169">
        <v>7</v>
      </c>
      <c r="B13" s="473" t="s">
        <v>374</v>
      </c>
      <c r="C13" s="474"/>
      <c r="D13" s="181"/>
      <c r="E13" s="181"/>
      <c r="F13" s="182"/>
      <c r="G13" s="179" t="e">
        <f>#REF!</f>
        <v>#REF!</v>
      </c>
      <c r="H13" s="177" t="e">
        <f>G13</f>
        <v>#REF!</v>
      </c>
      <c r="I13" s="180" t="e">
        <f>H13</f>
        <v>#REF!</v>
      </c>
      <c r="K13" t="s">
        <v>375</v>
      </c>
      <c r="L13" s="174" t="e">
        <f>L12-L10</f>
        <v>#REF!</v>
      </c>
      <c r="N13" s="204">
        <v>0.3</v>
      </c>
      <c r="P13"/>
      <c r="Q13"/>
      <c r="R13"/>
    </row>
    <row r="14" spans="1:18" ht="34.5" customHeight="1">
      <c r="A14" s="169">
        <v>8</v>
      </c>
      <c r="B14" s="473" t="s">
        <v>376</v>
      </c>
      <c r="C14" s="474"/>
      <c r="D14" s="181" t="e">
        <f>(D11-#REF!-#REF!)*(1-D12)</f>
        <v>#REF!</v>
      </c>
      <c r="E14" s="181" t="e">
        <f>(E11-#REF!-#REF!)*(1-E12)</f>
        <v>#REF!</v>
      </c>
      <c r="F14" s="182" t="e">
        <f>(F11-#REF!-#REF!)*(1-F12)</f>
        <v>#REF!</v>
      </c>
      <c r="G14" s="173" t="e">
        <f>G11*(1-G12)*(1+G13)</f>
        <v>#REF!</v>
      </c>
      <c r="H14" s="170" t="e">
        <f>H11*(1-H12)*(1+H13)</f>
        <v>#REF!</v>
      </c>
      <c r="I14" s="172" t="e">
        <f>I11*(1-I12)*(1+I13)</f>
        <v>#REF!</v>
      </c>
      <c r="P14"/>
      <c r="Q14"/>
      <c r="R14"/>
    </row>
    <row r="15" spans="1:18" ht="34.5" customHeight="1">
      <c r="A15" s="169">
        <f t="shared" si="0"/>
        <v>9</v>
      </c>
      <c r="B15" s="472" t="s">
        <v>377</v>
      </c>
      <c r="C15" s="469"/>
      <c r="D15" s="170">
        <f>H15</f>
        <v>170000</v>
      </c>
      <c r="E15" s="170">
        <f>I15</f>
        <v>170000</v>
      </c>
      <c r="F15" s="171">
        <v>0</v>
      </c>
      <c r="G15" s="173">
        <f>K15</f>
        <v>170000</v>
      </c>
      <c r="H15" s="170">
        <f>G15</f>
        <v>170000</v>
      </c>
      <c r="I15" s="172">
        <f>H15</f>
        <v>170000</v>
      </c>
      <c r="K15" s="201">
        <v>170000</v>
      </c>
      <c r="L15" s="183">
        <v>630707.63</v>
      </c>
      <c r="P15"/>
      <c r="Q15"/>
      <c r="R15"/>
    </row>
    <row r="16" spans="1:18" ht="34.5" customHeight="1">
      <c r="A16" s="184">
        <f t="shared" si="0"/>
        <v>10</v>
      </c>
      <c r="B16" s="475" t="s">
        <v>378</v>
      </c>
      <c r="C16" s="475"/>
      <c r="D16" s="185" t="e">
        <f>ROUND((D14-D15),-2)</f>
        <v>#REF!</v>
      </c>
      <c r="E16" s="185" t="e">
        <f>ROUND((E14-E15),-2)</f>
        <v>#REF!</v>
      </c>
      <c r="F16" s="186" t="e">
        <f>ROUND((F14-F15),-2)</f>
        <v>#REF!</v>
      </c>
      <c r="G16" s="173" t="e">
        <f>ROUND((G14+G15),2)</f>
        <v>#REF!</v>
      </c>
      <c r="H16" s="170"/>
      <c r="I16" s="172" t="e">
        <f>ROUND((I14+I15),2)</f>
        <v>#REF!</v>
      </c>
      <c r="J16"/>
      <c r="L16"/>
      <c r="P16"/>
      <c r="Q16"/>
      <c r="R16"/>
    </row>
    <row r="17" spans="1:16" s="188" customFormat="1" ht="34.5" customHeight="1" thickBot="1">
      <c r="A17" s="187">
        <f t="shared" si="0"/>
        <v>11</v>
      </c>
      <c r="B17" s="476" t="s">
        <v>379</v>
      </c>
      <c r="C17" s="477"/>
      <c r="D17" s="465" t="e">
        <f>AVERAGE(G16:I16)</f>
        <v>#REF!</v>
      </c>
      <c r="E17" s="466"/>
      <c r="F17" s="466"/>
      <c r="G17" s="467"/>
      <c r="H17" s="467"/>
      <c r="I17" s="468"/>
      <c r="L17"/>
      <c r="N17" s="203">
        <v>37</v>
      </c>
      <c r="P17" s="188" t="e">
        <f>AVERAGE(P16:R16)</f>
        <v>#DIV/0!</v>
      </c>
    </row>
    <row r="18" spans="1:16" s="188" customFormat="1" ht="16" thickTop="1">
      <c r="A18" s="162"/>
      <c r="B18" s="189"/>
      <c r="C18" s="190"/>
      <c r="D18" s="191"/>
      <c r="E18" s="189"/>
      <c r="F18" s="189"/>
      <c r="G18" s="192"/>
      <c r="H18" s="192"/>
      <c r="I18" s="192"/>
      <c r="N18" s="203">
        <f>N17*1.08</f>
        <v>39.96</v>
      </c>
    </row>
    <row r="19" spans="1:16">
      <c r="D19" s="175"/>
      <c r="G19" s="52"/>
      <c r="H19" s="183"/>
      <c r="I19" s="183"/>
    </row>
    <row r="20" spans="1:16">
      <c r="D20" s="175"/>
      <c r="G20" s="52"/>
      <c r="H20" s="193"/>
      <c r="I20" s="193"/>
    </row>
    <row r="21" spans="1:16">
      <c r="D21" s="175"/>
      <c r="G21"/>
      <c r="H21" s="193"/>
      <c r="I21" s="193"/>
    </row>
    <row r="22" spans="1:16">
      <c r="G22"/>
      <c r="H22" s="194"/>
      <c r="I22" s="194"/>
    </row>
    <row r="23" spans="1:16">
      <c r="C23" s="202"/>
      <c r="G23" s="195"/>
      <c r="H23" s="195"/>
      <c r="I23" s="195"/>
    </row>
    <row r="24" spans="1:16">
      <c r="C24" s="202"/>
      <c r="G24" s="195"/>
      <c r="H24" s="195"/>
      <c r="I24" s="195"/>
    </row>
    <row r="25" spans="1:16">
      <c r="C25" s="202"/>
      <c r="G25" s="195"/>
      <c r="H25"/>
      <c r="I25" s="195"/>
    </row>
    <row r="26" spans="1:16">
      <c r="G26" s="195"/>
      <c r="H26" s="195"/>
      <c r="I26" s="195"/>
    </row>
    <row r="27" spans="1:16">
      <c r="G27" s="195"/>
      <c r="H27" s="195"/>
      <c r="I27" s="195"/>
    </row>
    <row r="28" spans="1:16">
      <c r="G28" s="195"/>
      <c r="H28" s="195"/>
      <c r="I28" s="195"/>
    </row>
    <row r="29" spans="1:16">
      <c r="G29" s="195"/>
      <c r="H29" s="195"/>
      <c r="I29" s="195"/>
    </row>
    <row r="30" spans="1:16">
      <c r="G30" s="195"/>
      <c r="H30" s="195"/>
      <c r="I30" s="195"/>
    </row>
    <row r="31" spans="1:16">
      <c r="G31" s="195"/>
      <c r="H31" s="195"/>
      <c r="I31" s="195"/>
    </row>
    <row r="32" spans="1:16">
      <c r="G32" s="195"/>
      <c r="H32" s="195"/>
      <c r="I32" s="195"/>
    </row>
    <row r="33" spans="7:9">
      <c r="G33" s="195"/>
      <c r="H33" s="195"/>
      <c r="I33" s="195"/>
    </row>
    <row r="34" spans="7:9">
      <c r="G34" s="195"/>
      <c r="H34" s="195"/>
      <c r="I34" s="195"/>
    </row>
    <row r="35" spans="7:9">
      <c r="G35" s="195"/>
      <c r="H35" s="195"/>
      <c r="I35" s="195"/>
    </row>
    <row r="36" spans="7:9">
      <c r="G36" s="195"/>
      <c r="H36" s="195"/>
      <c r="I36" s="195"/>
    </row>
  </sheetData>
  <mergeCells count="18">
    <mergeCell ref="D17:I17"/>
    <mergeCell ref="B7:C7"/>
    <mergeCell ref="B8:C8"/>
    <mergeCell ref="B9:C9"/>
    <mergeCell ref="B10:C10"/>
    <mergeCell ref="B11:C11"/>
    <mergeCell ref="B12:C12"/>
    <mergeCell ref="B13:C13"/>
    <mergeCell ref="B14:C14"/>
    <mergeCell ref="B15:C15"/>
    <mergeCell ref="B16:C16"/>
    <mergeCell ref="B17:C17"/>
    <mergeCell ref="A1:I1"/>
    <mergeCell ref="A2:I2"/>
    <mergeCell ref="A5:A6"/>
    <mergeCell ref="B5:C6"/>
    <mergeCell ref="D5:F5"/>
    <mergeCell ref="G5:I5"/>
  </mergeCells>
  <phoneticPr fontId="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581C0-8010-4137-8878-3B98D10837C3}">
  <dimension ref="A1:AE31"/>
  <sheetViews>
    <sheetView zoomScale="110" zoomScaleNormal="110" workbookViewId="0">
      <pane xSplit="2" topLeftCell="C1" activePane="topRight" state="frozenSplit"/>
      <selection pane="topRight" activeCell="C5" sqref="C5"/>
    </sheetView>
  </sheetViews>
  <sheetFormatPr defaultColWidth="8.7265625" defaultRowHeight="13"/>
  <cols>
    <col min="1" max="1" width="10.7265625" style="151" customWidth="1"/>
    <col min="2" max="2" width="10.08984375" style="151" customWidth="1"/>
    <col min="3" max="3" width="18.26953125" style="151" customWidth="1"/>
    <col min="4" max="4" width="18.7265625" style="151" customWidth="1"/>
    <col min="5" max="5" width="17.36328125" style="151" bestFit="1" customWidth="1"/>
    <col min="6" max="6" width="17.26953125" style="151" bestFit="1" customWidth="1"/>
    <col min="7" max="7" width="16.08984375" style="151" customWidth="1"/>
    <col min="8" max="8" width="15.08984375" style="151" customWidth="1"/>
    <col min="9" max="9" width="20" style="151" customWidth="1"/>
    <col min="10" max="10" width="17.26953125" style="151" customWidth="1"/>
    <col min="11" max="11" width="15.7265625" style="151" customWidth="1"/>
    <col min="12" max="12" width="13.36328125" style="151" customWidth="1"/>
    <col min="13" max="13" width="15.453125" style="151" customWidth="1"/>
    <col min="14" max="14" width="15.26953125" style="151" customWidth="1"/>
    <col min="15" max="16" width="8.7265625" style="151"/>
    <col min="17" max="17" width="11.6328125" style="151" bestFit="1" customWidth="1"/>
    <col min="18" max="18" width="14.6328125" style="151" bestFit="1" customWidth="1"/>
    <col min="19" max="19" width="16.7265625" style="151" bestFit="1" customWidth="1"/>
    <col min="20" max="21" width="11.6328125" style="151" bestFit="1" customWidth="1"/>
    <col min="22" max="22" width="8.7265625" style="151"/>
    <col min="23" max="23" width="16" style="151" bestFit="1" customWidth="1"/>
    <col min="24" max="24" width="8.7265625" style="151"/>
    <col min="25" max="25" width="12.6328125" style="151" bestFit="1" customWidth="1"/>
    <col min="26" max="26" width="14.6328125" style="151" bestFit="1" customWidth="1"/>
    <col min="27" max="27" width="8.7265625" style="151"/>
    <col min="28" max="28" width="9.453125" style="151" bestFit="1" customWidth="1"/>
    <col min="29" max="257" width="8.7265625" style="151"/>
    <col min="258" max="258" width="10.7265625" style="151" customWidth="1"/>
    <col min="259" max="259" width="10.08984375" style="151" customWidth="1"/>
    <col min="260" max="260" width="18.26953125" style="151" customWidth="1"/>
    <col min="261" max="261" width="18.7265625" style="151" customWidth="1"/>
    <col min="262" max="262" width="17.36328125" style="151" bestFit="1" customWidth="1"/>
    <col min="263" max="263" width="17.26953125" style="151" bestFit="1" customWidth="1"/>
    <col min="264" max="264" width="17.26953125" style="151" customWidth="1"/>
    <col min="265" max="265" width="20" style="151" customWidth="1"/>
    <col min="266" max="266" width="17.26953125" style="151" customWidth="1"/>
    <col min="267" max="267" width="15.7265625" style="151" customWidth="1"/>
    <col min="268" max="268" width="13.36328125" style="151" customWidth="1"/>
    <col min="269" max="269" width="15.453125" style="151" customWidth="1"/>
    <col min="270" max="270" width="15.26953125" style="151" customWidth="1"/>
    <col min="271" max="513" width="8.7265625" style="151"/>
    <col min="514" max="514" width="10.7265625" style="151" customWidth="1"/>
    <col min="515" max="515" width="10.08984375" style="151" customWidth="1"/>
    <col min="516" max="516" width="18.26953125" style="151" customWidth="1"/>
    <col min="517" max="517" width="18.7265625" style="151" customWidth="1"/>
    <col min="518" max="518" width="17.36328125" style="151" bestFit="1" customWidth="1"/>
    <col min="519" max="519" width="17.26953125" style="151" bestFit="1" customWidth="1"/>
    <col min="520" max="520" width="17.26953125" style="151" customWidth="1"/>
    <col min="521" max="521" width="20" style="151" customWidth="1"/>
    <col min="522" max="522" width="17.26953125" style="151" customWidth="1"/>
    <col min="523" max="523" width="15.7265625" style="151" customWidth="1"/>
    <col min="524" max="524" width="13.36328125" style="151" customWidth="1"/>
    <col min="525" max="525" width="15.453125" style="151" customWidth="1"/>
    <col min="526" max="526" width="15.26953125" style="151" customWidth="1"/>
    <col min="527" max="769" width="8.7265625" style="151"/>
    <col min="770" max="770" width="10.7265625" style="151" customWidth="1"/>
    <col min="771" max="771" width="10.08984375" style="151" customWidth="1"/>
    <col min="772" max="772" width="18.26953125" style="151" customWidth="1"/>
    <col min="773" max="773" width="18.7265625" style="151" customWidth="1"/>
    <col min="774" max="774" width="17.36328125" style="151" bestFit="1" customWidth="1"/>
    <col min="775" max="775" width="17.26953125" style="151" bestFit="1" customWidth="1"/>
    <col min="776" max="776" width="17.26953125" style="151" customWidth="1"/>
    <col min="777" max="777" width="20" style="151" customWidth="1"/>
    <col min="778" max="778" width="17.26953125" style="151" customWidth="1"/>
    <col min="779" max="779" width="15.7265625" style="151" customWidth="1"/>
    <col min="780" max="780" width="13.36328125" style="151" customWidth="1"/>
    <col min="781" max="781" width="15.453125" style="151" customWidth="1"/>
    <col min="782" max="782" width="15.26953125" style="151" customWidth="1"/>
    <col min="783" max="1025" width="8.7265625" style="151"/>
    <col min="1026" max="1026" width="10.7265625" style="151" customWidth="1"/>
    <col min="1027" max="1027" width="10.08984375" style="151" customWidth="1"/>
    <col min="1028" max="1028" width="18.26953125" style="151" customWidth="1"/>
    <col min="1029" max="1029" width="18.7265625" style="151" customWidth="1"/>
    <col min="1030" max="1030" width="17.36328125" style="151" bestFit="1" customWidth="1"/>
    <col min="1031" max="1031" width="17.26953125" style="151" bestFit="1" customWidth="1"/>
    <col min="1032" max="1032" width="17.26953125" style="151" customWidth="1"/>
    <col min="1033" max="1033" width="20" style="151" customWidth="1"/>
    <col min="1034" max="1034" width="17.26953125" style="151" customWidth="1"/>
    <col min="1035" max="1035" width="15.7265625" style="151" customWidth="1"/>
    <col min="1036" max="1036" width="13.36328125" style="151" customWidth="1"/>
    <col min="1037" max="1037" width="15.453125" style="151" customWidth="1"/>
    <col min="1038" max="1038" width="15.26953125" style="151" customWidth="1"/>
    <col min="1039" max="1281" width="8.7265625" style="151"/>
    <col min="1282" max="1282" width="10.7265625" style="151" customWidth="1"/>
    <col min="1283" max="1283" width="10.08984375" style="151" customWidth="1"/>
    <col min="1284" max="1284" width="18.26953125" style="151" customWidth="1"/>
    <col min="1285" max="1285" width="18.7265625" style="151" customWidth="1"/>
    <col min="1286" max="1286" width="17.36328125" style="151" bestFit="1" customWidth="1"/>
    <col min="1287" max="1287" width="17.26953125" style="151" bestFit="1" customWidth="1"/>
    <col min="1288" max="1288" width="17.26953125" style="151" customWidth="1"/>
    <col min="1289" max="1289" width="20" style="151" customWidth="1"/>
    <col min="1290" max="1290" width="17.26953125" style="151" customWidth="1"/>
    <col min="1291" max="1291" width="15.7265625" style="151" customWidth="1"/>
    <col min="1292" max="1292" width="13.36328125" style="151" customWidth="1"/>
    <col min="1293" max="1293" width="15.453125" style="151" customWidth="1"/>
    <col min="1294" max="1294" width="15.26953125" style="151" customWidth="1"/>
    <col min="1295" max="1537" width="8.7265625" style="151"/>
    <col min="1538" max="1538" width="10.7265625" style="151" customWidth="1"/>
    <col min="1539" max="1539" width="10.08984375" style="151" customWidth="1"/>
    <col min="1540" max="1540" width="18.26953125" style="151" customWidth="1"/>
    <col min="1541" max="1541" width="18.7265625" style="151" customWidth="1"/>
    <col min="1542" max="1542" width="17.36328125" style="151" bestFit="1" customWidth="1"/>
    <col min="1543" max="1543" width="17.26953125" style="151" bestFit="1" customWidth="1"/>
    <col min="1544" max="1544" width="17.26953125" style="151" customWidth="1"/>
    <col min="1545" max="1545" width="20" style="151" customWidth="1"/>
    <col min="1546" max="1546" width="17.26953125" style="151" customWidth="1"/>
    <col min="1547" max="1547" width="15.7265625" style="151" customWidth="1"/>
    <col min="1548" max="1548" width="13.36328125" style="151" customWidth="1"/>
    <col min="1549" max="1549" width="15.453125" style="151" customWidth="1"/>
    <col min="1550" max="1550" width="15.26953125" style="151" customWidth="1"/>
    <col min="1551" max="1793" width="8.7265625" style="151"/>
    <col min="1794" max="1794" width="10.7265625" style="151" customWidth="1"/>
    <col min="1795" max="1795" width="10.08984375" style="151" customWidth="1"/>
    <col min="1796" max="1796" width="18.26953125" style="151" customWidth="1"/>
    <col min="1797" max="1797" width="18.7265625" style="151" customWidth="1"/>
    <col min="1798" max="1798" width="17.36328125" style="151" bestFit="1" customWidth="1"/>
    <col min="1799" max="1799" width="17.26953125" style="151" bestFit="1" customWidth="1"/>
    <col min="1800" max="1800" width="17.26953125" style="151" customWidth="1"/>
    <col min="1801" max="1801" width="20" style="151" customWidth="1"/>
    <col min="1802" max="1802" width="17.26953125" style="151" customWidth="1"/>
    <col min="1803" max="1803" width="15.7265625" style="151" customWidth="1"/>
    <col min="1804" max="1804" width="13.36328125" style="151" customWidth="1"/>
    <col min="1805" max="1805" width="15.453125" style="151" customWidth="1"/>
    <col min="1806" max="1806" width="15.26953125" style="151" customWidth="1"/>
    <col min="1807" max="2049" width="8.7265625" style="151"/>
    <col min="2050" max="2050" width="10.7265625" style="151" customWidth="1"/>
    <col min="2051" max="2051" width="10.08984375" style="151" customWidth="1"/>
    <col min="2052" max="2052" width="18.26953125" style="151" customWidth="1"/>
    <col min="2053" max="2053" width="18.7265625" style="151" customWidth="1"/>
    <col min="2054" max="2054" width="17.36328125" style="151" bestFit="1" customWidth="1"/>
    <col min="2055" max="2055" width="17.26953125" style="151" bestFit="1" customWidth="1"/>
    <col min="2056" max="2056" width="17.26953125" style="151" customWidth="1"/>
    <col min="2057" max="2057" width="20" style="151" customWidth="1"/>
    <col min="2058" max="2058" width="17.26953125" style="151" customWidth="1"/>
    <col min="2059" max="2059" width="15.7265625" style="151" customWidth="1"/>
    <col min="2060" max="2060" width="13.36328125" style="151" customWidth="1"/>
    <col min="2061" max="2061" width="15.453125" style="151" customWidth="1"/>
    <col min="2062" max="2062" width="15.26953125" style="151" customWidth="1"/>
    <col min="2063" max="2305" width="8.7265625" style="151"/>
    <col min="2306" max="2306" width="10.7265625" style="151" customWidth="1"/>
    <col min="2307" max="2307" width="10.08984375" style="151" customWidth="1"/>
    <col min="2308" max="2308" width="18.26953125" style="151" customWidth="1"/>
    <col min="2309" max="2309" width="18.7265625" style="151" customWidth="1"/>
    <col min="2310" max="2310" width="17.36328125" style="151" bestFit="1" customWidth="1"/>
    <col min="2311" max="2311" width="17.26953125" style="151" bestFit="1" customWidth="1"/>
    <col min="2312" max="2312" width="17.26953125" style="151" customWidth="1"/>
    <col min="2313" max="2313" width="20" style="151" customWidth="1"/>
    <col min="2314" max="2314" width="17.26953125" style="151" customWidth="1"/>
    <col min="2315" max="2315" width="15.7265625" style="151" customWidth="1"/>
    <col min="2316" max="2316" width="13.36328125" style="151" customWidth="1"/>
    <col min="2317" max="2317" width="15.453125" style="151" customWidth="1"/>
    <col min="2318" max="2318" width="15.26953125" style="151" customWidth="1"/>
    <col min="2319" max="2561" width="8.7265625" style="151"/>
    <col min="2562" max="2562" width="10.7265625" style="151" customWidth="1"/>
    <col min="2563" max="2563" width="10.08984375" style="151" customWidth="1"/>
    <col min="2564" max="2564" width="18.26953125" style="151" customWidth="1"/>
    <col min="2565" max="2565" width="18.7265625" style="151" customWidth="1"/>
    <col min="2566" max="2566" width="17.36328125" style="151" bestFit="1" customWidth="1"/>
    <col min="2567" max="2567" width="17.26953125" style="151" bestFit="1" customWidth="1"/>
    <col min="2568" max="2568" width="17.26953125" style="151" customWidth="1"/>
    <col min="2569" max="2569" width="20" style="151" customWidth="1"/>
    <col min="2570" max="2570" width="17.26953125" style="151" customWidth="1"/>
    <col min="2571" max="2571" width="15.7265625" style="151" customWidth="1"/>
    <col min="2572" max="2572" width="13.36328125" style="151" customWidth="1"/>
    <col min="2573" max="2573" width="15.453125" style="151" customWidth="1"/>
    <col min="2574" max="2574" width="15.26953125" style="151" customWidth="1"/>
    <col min="2575" max="2817" width="8.7265625" style="151"/>
    <col min="2818" max="2818" width="10.7265625" style="151" customWidth="1"/>
    <col min="2819" max="2819" width="10.08984375" style="151" customWidth="1"/>
    <col min="2820" max="2820" width="18.26953125" style="151" customWidth="1"/>
    <col min="2821" max="2821" width="18.7265625" style="151" customWidth="1"/>
    <col min="2822" max="2822" width="17.36328125" style="151" bestFit="1" customWidth="1"/>
    <col min="2823" max="2823" width="17.26953125" style="151" bestFit="1" customWidth="1"/>
    <col min="2824" max="2824" width="17.26953125" style="151" customWidth="1"/>
    <col min="2825" max="2825" width="20" style="151" customWidth="1"/>
    <col min="2826" max="2826" width="17.26953125" style="151" customWidth="1"/>
    <col min="2827" max="2827" width="15.7265625" style="151" customWidth="1"/>
    <col min="2828" max="2828" width="13.36328125" style="151" customWidth="1"/>
    <col min="2829" max="2829" width="15.453125" style="151" customWidth="1"/>
    <col min="2830" max="2830" width="15.26953125" style="151" customWidth="1"/>
    <col min="2831" max="3073" width="8.7265625" style="151"/>
    <col min="3074" max="3074" width="10.7265625" style="151" customWidth="1"/>
    <col min="3075" max="3075" width="10.08984375" style="151" customWidth="1"/>
    <col min="3076" max="3076" width="18.26953125" style="151" customWidth="1"/>
    <col min="3077" max="3077" width="18.7265625" style="151" customWidth="1"/>
    <col min="3078" max="3078" width="17.36328125" style="151" bestFit="1" customWidth="1"/>
    <col min="3079" max="3079" width="17.26953125" style="151" bestFit="1" customWidth="1"/>
    <col min="3080" max="3080" width="17.26953125" style="151" customWidth="1"/>
    <col min="3081" max="3081" width="20" style="151" customWidth="1"/>
    <col min="3082" max="3082" width="17.26953125" style="151" customWidth="1"/>
    <col min="3083" max="3083" width="15.7265625" style="151" customWidth="1"/>
    <col min="3084" max="3084" width="13.36328125" style="151" customWidth="1"/>
    <col min="3085" max="3085" width="15.453125" style="151" customWidth="1"/>
    <col min="3086" max="3086" width="15.26953125" style="151" customWidth="1"/>
    <col min="3087" max="3329" width="8.7265625" style="151"/>
    <col min="3330" max="3330" width="10.7265625" style="151" customWidth="1"/>
    <col min="3331" max="3331" width="10.08984375" style="151" customWidth="1"/>
    <col min="3332" max="3332" width="18.26953125" style="151" customWidth="1"/>
    <col min="3333" max="3333" width="18.7265625" style="151" customWidth="1"/>
    <col min="3334" max="3334" width="17.36328125" style="151" bestFit="1" customWidth="1"/>
    <col min="3335" max="3335" width="17.26953125" style="151" bestFit="1" customWidth="1"/>
    <col min="3336" max="3336" width="17.26953125" style="151" customWidth="1"/>
    <col min="3337" max="3337" width="20" style="151" customWidth="1"/>
    <col min="3338" max="3338" width="17.26953125" style="151" customWidth="1"/>
    <col min="3339" max="3339" width="15.7265625" style="151" customWidth="1"/>
    <col min="3340" max="3340" width="13.36328125" style="151" customWidth="1"/>
    <col min="3341" max="3341" width="15.453125" style="151" customWidth="1"/>
    <col min="3342" max="3342" width="15.26953125" style="151" customWidth="1"/>
    <col min="3343" max="3585" width="8.7265625" style="151"/>
    <col min="3586" max="3586" width="10.7265625" style="151" customWidth="1"/>
    <col min="3587" max="3587" width="10.08984375" style="151" customWidth="1"/>
    <col min="3588" max="3588" width="18.26953125" style="151" customWidth="1"/>
    <col min="3589" max="3589" width="18.7265625" style="151" customWidth="1"/>
    <col min="3590" max="3590" width="17.36328125" style="151" bestFit="1" customWidth="1"/>
    <col min="3591" max="3591" width="17.26953125" style="151" bestFit="1" customWidth="1"/>
    <col min="3592" max="3592" width="17.26953125" style="151" customWidth="1"/>
    <col min="3593" max="3593" width="20" style="151" customWidth="1"/>
    <col min="3594" max="3594" width="17.26953125" style="151" customWidth="1"/>
    <col min="3595" max="3595" width="15.7265625" style="151" customWidth="1"/>
    <col min="3596" max="3596" width="13.36328125" style="151" customWidth="1"/>
    <col min="3597" max="3597" width="15.453125" style="151" customWidth="1"/>
    <col min="3598" max="3598" width="15.26953125" style="151" customWidth="1"/>
    <col min="3599" max="3841" width="8.7265625" style="151"/>
    <col min="3842" max="3842" width="10.7265625" style="151" customWidth="1"/>
    <col min="3843" max="3843" width="10.08984375" style="151" customWidth="1"/>
    <col min="3844" max="3844" width="18.26953125" style="151" customWidth="1"/>
    <col min="3845" max="3845" width="18.7265625" style="151" customWidth="1"/>
    <col min="3846" max="3846" width="17.36328125" style="151" bestFit="1" customWidth="1"/>
    <col min="3847" max="3847" width="17.26953125" style="151" bestFit="1" customWidth="1"/>
    <col min="3848" max="3848" width="17.26953125" style="151" customWidth="1"/>
    <col min="3849" max="3849" width="20" style="151" customWidth="1"/>
    <col min="3850" max="3850" width="17.26953125" style="151" customWidth="1"/>
    <col min="3851" max="3851" width="15.7265625" style="151" customWidth="1"/>
    <col min="3852" max="3852" width="13.36328125" style="151" customWidth="1"/>
    <col min="3853" max="3853" width="15.453125" style="151" customWidth="1"/>
    <col min="3854" max="3854" width="15.26953125" style="151" customWidth="1"/>
    <col min="3855" max="4097" width="8.7265625" style="151"/>
    <col min="4098" max="4098" width="10.7265625" style="151" customWidth="1"/>
    <col min="4099" max="4099" width="10.08984375" style="151" customWidth="1"/>
    <col min="4100" max="4100" width="18.26953125" style="151" customWidth="1"/>
    <col min="4101" max="4101" width="18.7265625" style="151" customWidth="1"/>
    <col min="4102" max="4102" width="17.36328125" style="151" bestFit="1" customWidth="1"/>
    <col min="4103" max="4103" width="17.26953125" style="151" bestFit="1" customWidth="1"/>
    <col min="4104" max="4104" width="17.26953125" style="151" customWidth="1"/>
    <col min="4105" max="4105" width="20" style="151" customWidth="1"/>
    <col min="4106" max="4106" width="17.26953125" style="151" customWidth="1"/>
    <col min="4107" max="4107" width="15.7265625" style="151" customWidth="1"/>
    <col min="4108" max="4108" width="13.36328125" style="151" customWidth="1"/>
    <col min="4109" max="4109" width="15.453125" style="151" customWidth="1"/>
    <col min="4110" max="4110" width="15.26953125" style="151" customWidth="1"/>
    <col min="4111" max="4353" width="8.7265625" style="151"/>
    <col min="4354" max="4354" width="10.7265625" style="151" customWidth="1"/>
    <col min="4355" max="4355" width="10.08984375" style="151" customWidth="1"/>
    <col min="4356" max="4356" width="18.26953125" style="151" customWidth="1"/>
    <col min="4357" max="4357" width="18.7265625" style="151" customWidth="1"/>
    <col min="4358" max="4358" width="17.36328125" style="151" bestFit="1" customWidth="1"/>
    <col min="4359" max="4359" width="17.26953125" style="151" bestFit="1" customWidth="1"/>
    <col min="4360" max="4360" width="17.26953125" style="151" customWidth="1"/>
    <col min="4361" max="4361" width="20" style="151" customWidth="1"/>
    <col min="4362" max="4362" width="17.26953125" style="151" customWidth="1"/>
    <col min="4363" max="4363" width="15.7265625" style="151" customWidth="1"/>
    <col min="4364" max="4364" width="13.36328125" style="151" customWidth="1"/>
    <col min="4365" max="4365" width="15.453125" style="151" customWidth="1"/>
    <col min="4366" max="4366" width="15.26953125" style="151" customWidth="1"/>
    <col min="4367" max="4609" width="8.7265625" style="151"/>
    <col min="4610" max="4610" width="10.7265625" style="151" customWidth="1"/>
    <col min="4611" max="4611" width="10.08984375" style="151" customWidth="1"/>
    <col min="4612" max="4612" width="18.26953125" style="151" customWidth="1"/>
    <col min="4613" max="4613" width="18.7265625" style="151" customWidth="1"/>
    <col min="4614" max="4614" width="17.36328125" style="151" bestFit="1" customWidth="1"/>
    <col min="4615" max="4615" width="17.26953125" style="151" bestFit="1" customWidth="1"/>
    <col min="4616" max="4616" width="17.26953125" style="151" customWidth="1"/>
    <col min="4617" max="4617" width="20" style="151" customWidth="1"/>
    <col min="4618" max="4618" width="17.26953125" style="151" customWidth="1"/>
    <col min="4619" max="4619" width="15.7265625" style="151" customWidth="1"/>
    <col min="4620" max="4620" width="13.36328125" style="151" customWidth="1"/>
    <col min="4621" max="4621" width="15.453125" style="151" customWidth="1"/>
    <col min="4622" max="4622" width="15.26953125" style="151" customWidth="1"/>
    <col min="4623" max="4865" width="8.7265625" style="151"/>
    <col min="4866" max="4866" width="10.7265625" style="151" customWidth="1"/>
    <col min="4867" max="4867" width="10.08984375" style="151" customWidth="1"/>
    <col min="4868" max="4868" width="18.26953125" style="151" customWidth="1"/>
    <col min="4869" max="4869" width="18.7265625" style="151" customWidth="1"/>
    <col min="4870" max="4870" width="17.36328125" style="151" bestFit="1" customWidth="1"/>
    <col min="4871" max="4871" width="17.26953125" style="151" bestFit="1" customWidth="1"/>
    <col min="4872" max="4872" width="17.26953125" style="151" customWidth="1"/>
    <col min="4873" max="4873" width="20" style="151" customWidth="1"/>
    <col min="4874" max="4874" width="17.26953125" style="151" customWidth="1"/>
    <col min="4875" max="4875" width="15.7265625" style="151" customWidth="1"/>
    <col min="4876" max="4876" width="13.36328125" style="151" customWidth="1"/>
    <col min="4877" max="4877" width="15.453125" style="151" customWidth="1"/>
    <col min="4878" max="4878" width="15.26953125" style="151" customWidth="1"/>
    <col min="4879" max="5121" width="8.7265625" style="151"/>
    <col min="5122" max="5122" width="10.7265625" style="151" customWidth="1"/>
    <col min="5123" max="5123" width="10.08984375" style="151" customWidth="1"/>
    <col min="5124" max="5124" width="18.26953125" style="151" customWidth="1"/>
    <col min="5125" max="5125" width="18.7265625" style="151" customWidth="1"/>
    <col min="5126" max="5126" width="17.36328125" style="151" bestFit="1" customWidth="1"/>
    <col min="5127" max="5127" width="17.26953125" style="151" bestFit="1" customWidth="1"/>
    <col min="5128" max="5128" width="17.26953125" style="151" customWidth="1"/>
    <col min="5129" max="5129" width="20" style="151" customWidth="1"/>
    <col min="5130" max="5130" width="17.26953125" style="151" customWidth="1"/>
    <col min="5131" max="5131" width="15.7265625" style="151" customWidth="1"/>
    <col min="5132" max="5132" width="13.36328125" style="151" customWidth="1"/>
    <col min="5133" max="5133" width="15.453125" style="151" customWidth="1"/>
    <col min="5134" max="5134" width="15.26953125" style="151" customWidth="1"/>
    <col min="5135" max="5377" width="8.7265625" style="151"/>
    <col min="5378" max="5378" width="10.7265625" style="151" customWidth="1"/>
    <col min="5379" max="5379" width="10.08984375" style="151" customWidth="1"/>
    <col min="5380" max="5380" width="18.26953125" style="151" customWidth="1"/>
    <col min="5381" max="5381" width="18.7265625" style="151" customWidth="1"/>
    <col min="5382" max="5382" width="17.36328125" style="151" bestFit="1" customWidth="1"/>
    <col min="5383" max="5383" width="17.26953125" style="151" bestFit="1" customWidth="1"/>
    <col min="5384" max="5384" width="17.26953125" style="151" customWidth="1"/>
    <col min="5385" max="5385" width="20" style="151" customWidth="1"/>
    <col min="5386" max="5386" width="17.26953125" style="151" customWidth="1"/>
    <col min="5387" max="5387" width="15.7265625" style="151" customWidth="1"/>
    <col min="5388" max="5388" width="13.36328125" style="151" customWidth="1"/>
    <col min="5389" max="5389" width="15.453125" style="151" customWidth="1"/>
    <col min="5390" max="5390" width="15.26953125" style="151" customWidth="1"/>
    <col min="5391" max="5633" width="8.7265625" style="151"/>
    <col min="5634" max="5634" width="10.7265625" style="151" customWidth="1"/>
    <col min="5635" max="5635" width="10.08984375" style="151" customWidth="1"/>
    <col min="5636" max="5636" width="18.26953125" style="151" customWidth="1"/>
    <col min="5637" max="5637" width="18.7265625" style="151" customWidth="1"/>
    <col min="5638" max="5638" width="17.36328125" style="151" bestFit="1" customWidth="1"/>
    <col min="5639" max="5639" width="17.26953125" style="151" bestFit="1" customWidth="1"/>
    <col min="5640" max="5640" width="17.26953125" style="151" customWidth="1"/>
    <col min="5641" max="5641" width="20" style="151" customWidth="1"/>
    <col min="5642" max="5642" width="17.26953125" style="151" customWidth="1"/>
    <col min="5643" max="5643" width="15.7265625" style="151" customWidth="1"/>
    <col min="5644" max="5644" width="13.36328125" style="151" customWidth="1"/>
    <col min="5645" max="5645" width="15.453125" style="151" customWidth="1"/>
    <col min="5646" max="5646" width="15.26953125" style="151" customWidth="1"/>
    <col min="5647" max="5889" width="8.7265625" style="151"/>
    <col min="5890" max="5890" width="10.7265625" style="151" customWidth="1"/>
    <col min="5891" max="5891" width="10.08984375" style="151" customWidth="1"/>
    <col min="5892" max="5892" width="18.26953125" style="151" customWidth="1"/>
    <col min="5893" max="5893" width="18.7265625" style="151" customWidth="1"/>
    <col min="5894" max="5894" width="17.36328125" style="151" bestFit="1" customWidth="1"/>
    <col min="5895" max="5895" width="17.26953125" style="151" bestFit="1" customWidth="1"/>
    <col min="5896" max="5896" width="17.26953125" style="151" customWidth="1"/>
    <col min="5897" max="5897" width="20" style="151" customWidth="1"/>
    <col min="5898" max="5898" width="17.26953125" style="151" customWidth="1"/>
    <col min="5899" max="5899" width="15.7265625" style="151" customWidth="1"/>
    <col min="5900" max="5900" width="13.36328125" style="151" customWidth="1"/>
    <col min="5901" max="5901" width="15.453125" style="151" customWidth="1"/>
    <col min="5902" max="5902" width="15.26953125" style="151" customWidth="1"/>
    <col min="5903" max="6145" width="8.7265625" style="151"/>
    <col min="6146" max="6146" width="10.7265625" style="151" customWidth="1"/>
    <col min="6147" max="6147" width="10.08984375" style="151" customWidth="1"/>
    <col min="6148" max="6148" width="18.26953125" style="151" customWidth="1"/>
    <col min="6149" max="6149" width="18.7265625" style="151" customWidth="1"/>
    <col min="6150" max="6150" width="17.36328125" style="151" bestFit="1" customWidth="1"/>
    <col min="6151" max="6151" width="17.26953125" style="151" bestFit="1" customWidth="1"/>
    <col min="6152" max="6152" width="17.26953125" style="151" customWidth="1"/>
    <col min="6153" max="6153" width="20" style="151" customWidth="1"/>
    <col min="6154" max="6154" width="17.26953125" style="151" customWidth="1"/>
    <col min="6155" max="6155" width="15.7265625" style="151" customWidth="1"/>
    <col min="6156" max="6156" width="13.36328125" style="151" customWidth="1"/>
    <col min="6157" max="6157" width="15.453125" style="151" customWidth="1"/>
    <col min="6158" max="6158" width="15.26953125" style="151" customWidth="1"/>
    <col min="6159" max="6401" width="8.7265625" style="151"/>
    <col min="6402" max="6402" width="10.7265625" style="151" customWidth="1"/>
    <col min="6403" max="6403" width="10.08984375" style="151" customWidth="1"/>
    <col min="6404" max="6404" width="18.26953125" style="151" customWidth="1"/>
    <col min="6405" max="6405" width="18.7265625" style="151" customWidth="1"/>
    <col min="6406" max="6406" width="17.36328125" style="151" bestFit="1" customWidth="1"/>
    <col min="6407" max="6407" width="17.26953125" style="151" bestFit="1" customWidth="1"/>
    <col min="6408" max="6408" width="17.26953125" style="151" customWidth="1"/>
    <col min="6409" max="6409" width="20" style="151" customWidth="1"/>
    <col min="6410" max="6410" width="17.26953125" style="151" customWidth="1"/>
    <col min="6411" max="6411" width="15.7265625" style="151" customWidth="1"/>
    <col min="6412" max="6412" width="13.36328125" style="151" customWidth="1"/>
    <col min="6413" max="6413" width="15.453125" style="151" customWidth="1"/>
    <col min="6414" max="6414" width="15.26953125" style="151" customWidth="1"/>
    <col min="6415" max="6657" width="8.7265625" style="151"/>
    <col min="6658" max="6658" width="10.7265625" style="151" customWidth="1"/>
    <col min="6659" max="6659" width="10.08984375" style="151" customWidth="1"/>
    <col min="6660" max="6660" width="18.26953125" style="151" customWidth="1"/>
    <col min="6661" max="6661" width="18.7265625" style="151" customWidth="1"/>
    <col min="6662" max="6662" width="17.36328125" style="151" bestFit="1" customWidth="1"/>
    <col min="6663" max="6663" width="17.26953125" style="151" bestFit="1" customWidth="1"/>
    <col min="6664" max="6664" width="17.26953125" style="151" customWidth="1"/>
    <col min="6665" max="6665" width="20" style="151" customWidth="1"/>
    <col min="6666" max="6666" width="17.26953125" style="151" customWidth="1"/>
    <col min="6667" max="6667" width="15.7265625" style="151" customWidth="1"/>
    <col min="6668" max="6668" width="13.36328125" style="151" customWidth="1"/>
    <col min="6669" max="6669" width="15.453125" style="151" customWidth="1"/>
    <col min="6670" max="6670" width="15.26953125" style="151" customWidth="1"/>
    <col min="6671" max="6913" width="8.7265625" style="151"/>
    <col min="6914" max="6914" width="10.7265625" style="151" customWidth="1"/>
    <col min="6915" max="6915" width="10.08984375" style="151" customWidth="1"/>
    <col min="6916" max="6916" width="18.26953125" style="151" customWidth="1"/>
    <col min="6917" max="6917" width="18.7265625" style="151" customWidth="1"/>
    <col min="6918" max="6918" width="17.36328125" style="151" bestFit="1" customWidth="1"/>
    <col min="6919" max="6919" width="17.26953125" style="151" bestFit="1" customWidth="1"/>
    <col min="6920" max="6920" width="17.26953125" style="151" customWidth="1"/>
    <col min="6921" max="6921" width="20" style="151" customWidth="1"/>
    <col min="6922" max="6922" width="17.26953125" style="151" customWidth="1"/>
    <col min="6923" max="6923" width="15.7265625" style="151" customWidth="1"/>
    <col min="6924" max="6924" width="13.36328125" style="151" customWidth="1"/>
    <col min="6925" max="6925" width="15.453125" style="151" customWidth="1"/>
    <col min="6926" max="6926" width="15.26953125" style="151" customWidth="1"/>
    <col min="6927" max="7169" width="8.7265625" style="151"/>
    <col min="7170" max="7170" width="10.7265625" style="151" customWidth="1"/>
    <col min="7171" max="7171" width="10.08984375" style="151" customWidth="1"/>
    <col min="7172" max="7172" width="18.26953125" style="151" customWidth="1"/>
    <col min="7173" max="7173" width="18.7265625" style="151" customWidth="1"/>
    <col min="7174" max="7174" width="17.36328125" style="151" bestFit="1" customWidth="1"/>
    <col min="7175" max="7175" width="17.26953125" style="151" bestFit="1" customWidth="1"/>
    <col min="7176" max="7176" width="17.26953125" style="151" customWidth="1"/>
    <col min="7177" max="7177" width="20" style="151" customWidth="1"/>
    <col min="7178" max="7178" width="17.26953125" style="151" customWidth="1"/>
    <col min="7179" max="7179" width="15.7265625" style="151" customWidth="1"/>
    <col min="7180" max="7180" width="13.36328125" style="151" customWidth="1"/>
    <col min="7181" max="7181" width="15.453125" style="151" customWidth="1"/>
    <col min="7182" max="7182" width="15.26953125" style="151" customWidth="1"/>
    <col min="7183" max="7425" width="8.7265625" style="151"/>
    <col min="7426" max="7426" width="10.7265625" style="151" customWidth="1"/>
    <col min="7427" max="7427" width="10.08984375" style="151" customWidth="1"/>
    <col min="7428" max="7428" width="18.26953125" style="151" customWidth="1"/>
    <col min="7429" max="7429" width="18.7265625" style="151" customWidth="1"/>
    <col min="7430" max="7430" width="17.36328125" style="151" bestFit="1" customWidth="1"/>
    <col min="7431" max="7431" width="17.26953125" style="151" bestFit="1" customWidth="1"/>
    <col min="7432" max="7432" width="17.26953125" style="151" customWidth="1"/>
    <col min="7433" max="7433" width="20" style="151" customWidth="1"/>
    <col min="7434" max="7434" width="17.26953125" style="151" customWidth="1"/>
    <col min="7435" max="7435" width="15.7265625" style="151" customWidth="1"/>
    <col min="7436" max="7436" width="13.36328125" style="151" customWidth="1"/>
    <col min="7437" max="7437" width="15.453125" style="151" customWidth="1"/>
    <col min="7438" max="7438" width="15.26953125" style="151" customWidth="1"/>
    <col min="7439" max="7681" width="8.7265625" style="151"/>
    <col min="7682" max="7682" width="10.7265625" style="151" customWidth="1"/>
    <col min="7683" max="7683" width="10.08984375" style="151" customWidth="1"/>
    <col min="7684" max="7684" width="18.26953125" style="151" customWidth="1"/>
    <col min="7685" max="7685" width="18.7265625" style="151" customWidth="1"/>
    <col min="7686" max="7686" width="17.36328125" style="151" bestFit="1" customWidth="1"/>
    <col min="7687" max="7687" width="17.26953125" style="151" bestFit="1" customWidth="1"/>
    <col min="7688" max="7688" width="17.26953125" style="151" customWidth="1"/>
    <col min="7689" max="7689" width="20" style="151" customWidth="1"/>
    <col min="7690" max="7690" width="17.26953125" style="151" customWidth="1"/>
    <col min="7691" max="7691" width="15.7265625" style="151" customWidth="1"/>
    <col min="7692" max="7692" width="13.36328125" style="151" customWidth="1"/>
    <col min="7693" max="7693" width="15.453125" style="151" customWidth="1"/>
    <col min="7694" max="7694" width="15.26953125" style="151" customWidth="1"/>
    <col min="7695" max="7937" width="8.7265625" style="151"/>
    <col min="7938" max="7938" width="10.7265625" style="151" customWidth="1"/>
    <col min="7939" max="7939" width="10.08984375" style="151" customWidth="1"/>
    <col min="7940" max="7940" width="18.26953125" style="151" customWidth="1"/>
    <col min="7941" max="7941" width="18.7265625" style="151" customWidth="1"/>
    <col min="7942" max="7942" width="17.36328125" style="151" bestFit="1" customWidth="1"/>
    <col min="7943" max="7943" width="17.26953125" style="151" bestFit="1" customWidth="1"/>
    <col min="7944" max="7944" width="17.26953125" style="151" customWidth="1"/>
    <col min="7945" max="7945" width="20" style="151" customWidth="1"/>
    <col min="7946" max="7946" width="17.26953125" style="151" customWidth="1"/>
    <col min="7947" max="7947" width="15.7265625" style="151" customWidth="1"/>
    <col min="7948" max="7948" width="13.36328125" style="151" customWidth="1"/>
    <col min="7949" max="7949" width="15.453125" style="151" customWidth="1"/>
    <col min="7950" max="7950" width="15.26953125" style="151" customWidth="1"/>
    <col min="7951" max="8193" width="8.7265625" style="151"/>
    <col min="8194" max="8194" width="10.7265625" style="151" customWidth="1"/>
    <col min="8195" max="8195" width="10.08984375" style="151" customWidth="1"/>
    <col min="8196" max="8196" width="18.26953125" style="151" customWidth="1"/>
    <col min="8197" max="8197" width="18.7265625" style="151" customWidth="1"/>
    <col min="8198" max="8198" width="17.36328125" style="151" bestFit="1" customWidth="1"/>
    <col min="8199" max="8199" width="17.26953125" style="151" bestFit="1" customWidth="1"/>
    <col min="8200" max="8200" width="17.26953125" style="151" customWidth="1"/>
    <col min="8201" max="8201" width="20" style="151" customWidth="1"/>
    <col min="8202" max="8202" width="17.26953125" style="151" customWidth="1"/>
    <col min="8203" max="8203" width="15.7265625" style="151" customWidth="1"/>
    <col min="8204" max="8204" width="13.36328125" style="151" customWidth="1"/>
    <col min="8205" max="8205" width="15.453125" style="151" customWidth="1"/>
    <col min="8206" max="8206" width="15.26953125" style="151" customWidth="1"/>
    <col min="8207" max="8449" width="8.7265625" style="151"/>
    <col min="8450" max="8450" width="10.7265625" style="151" customWidth="1"/>
    <col min="8451" max="8451" width="10.08984375" style="151" customWidth="1"/>
    <col min="8452" max="8452" width="18.26953125" style="151" customWidth="1"/>
    <col min="8453" max="8453" width="18.7265625" style="151" customWidth="1"/>
    <col min="8454" max="8454" width="17.36328125" style="151" bestFit="1" customWidth="1"/>
    <col min="8455" max="8455" width="17.26953125" style="151" bestFit="1" customWidth="1"/>
    <col min="8456" max="8456" width="17.26953125" style="151" customWidth="1"/>
    <col min="8457" max="8457" width="20" style="151" customWidth="1"/>
    <col min="8458" max="8458" width="17.26953125" style="151" customWidth="1"/>
    <col min="8459" max="8459" width="15.7265625" style="151" customWidth="1"/>
    <col min="8460" max="8460" width="13.36328125" style="151" customWidth="1"/>
    <col min="8461" max="8461" width="15.453125" style="151" customWidth="1"/>
    <col min="8462" max="8462" width="15.26953125" style="151" customWidth="1"/>
    <col min="8463" max="8705" width="8.7265625" style="151"/>
    <col min="8706" max="8706" width="10.7265625" style="151" customWidth="1"/>
    <col min="8707" max="8707" width="10.08984375" style="151" customWidth="1"/>
    <col min="8708" max="8708" width="18.26953125" style="151" customWidth="1"/>
    <col min="8709" max="8709" width="18.7265625" style="151" customWidth="1"/>
    <col min="8710" max="8710" width="17.36328125" style="151" bestFit="1" customWidth="1"/>
    <col min="8711" max="8711" width="17.26953125" style="151" bestFit="1" customWidth="1"/>
    <col min="8712" max="8712" width="17.26953125" style="151" customWidth="1"/>
    <col min="8713" max="8713" width="20" style="151" customWidth="1"/>
    <col min="8714" max="8714" width="17.26953125" style="151" customWidth="1"/>
    <col min="8715" max="8715" width="15.7265625" style="151" customWidth="1"/>
    <col min="8716" max="8716" width="13.36328125" style="151" customWidth="1"/>
    <col min="8717" max="8717" width="15.453125" style="151" customWidth="1"/>
    <col min="8718" max="8718" width="15.26953125" style="151" customWidth="1"/>
    <col min="8719" max="8961" width="8.7265625" style="151"/>
    <col min="8962" max="8962" width="10.7265625" style="151" customWidth="1"/>
    <col min="8963" max="8963" width="10.08984375" style="151" customWidth="1"/>
    <col min="8964" max="8964" width="18.26953125" style="151" customWidth="1"/>
    <col min="8965" max="8965" width="18.7265625" style="151" customWidth="1"/>
    <col min="8966" max="8966" width="17.36328125" style="151" bestFit="1" customWidth="1"/>
    <col min="8967" max="8967" width="17.26953125" style="151" bestFit="1" customWidth="1"/>
    <col min="8968" max="8968" width="17.26953125" style="151" customWidth="1"/>
    <col min="8969" max="8969" width="20" style="151" customWidth="1"/>
    <col min="8970" max="8970" width="17.26953125" style="151" customWidth="1"/>
    <col min="8971" max="8971" width="15.7265625" style="151" customWidth="1"/>
    <col min="8972" max="8972" width="13.36328125" style="151" customWidth="1"/>
    <col min="8973" max="8973" width="15.453125" style="151" customWidth="1"/>
    <col min="8974" max="8974" width="15.26953125" style="151" customWidth="1"/>
    <col min="8975" max="9217" width="8.7265625" style="151"/>
    <col min="9218" max="9218" width="10.7265625" style="151" customWidth="1"/>
    <col min="9219" max="9219" width="10.08984375" style="151" customWidth="1"/>
    <col min="9220" max="9220" width="18.26953125" style="151" customWidth="1"/>
    <col min="9221" max="9221" width="18.7265625" style="151" customWidth="1"/>
    <col min="9222" max="9222" width="17.36328125" style="151" bestFit="1" customWidth="1"/>
    <col min="9223" max="9223" width="17.26953125" style="151" bestFit="1" customWidth="1"/>
    <col min="9224" max="9224" width="17.26953125" style="151" customWidth="1"/>
    <col min="9225" max="9225" width="20" style="151" customWidth="1"/>
    <col min="9226" max="9226" width="17.26953125" style="151" customWidth="1"/>
    <col min="9227" max="9227" width="15.7265625" style="151" customWidth="1"/>
    <col min="9228" max="9228" width="13.36328125" style="151" customWidth="1"/>
    <col min="9229" max="9229" width="15.453125" style="151" customWidth="1"/>
    <col min="9230" max="9230" width="15.26953125" style="151" customWidth="1"/>
    <col min="9231" max="9473" width="8.7265625" style="151"/>
    <col min="9474" max="9474" width="10.7265625" style="151" customWidth="1"/>
    <col min="9475" max="9475" width="10.08984375" style="151" customWidth="1"/>
    <col min="9476" max="9476" width="18.26953125" style="151" customWidth="1"/>
    <col min="9477" max="9477" width="18.7265625" style="151" customWidth="1"/>
    <col min="9478" max="9478" width="17.36328125" style="151" bestFit="1" customWidth="1"/>
    <col min="9479" max="9479" width="17.26953125" style="151" bestFit="1" customWidth="1"/>
    <col min="9480" max="9480" width="17.26953125" style="151" customWidth="1"/>
    <col min="9481" max="9481" width="20" style="151" customWidth="1"/>
    <col min="9482" max="9482" width="17.26953125" style="151" customWidth="1"/>
    <col min="9483" max="9483" width="15.7265625" style="151" customWidth="1"/>
    <col min="9484" max="9484" width="13.36328125" style="151" customWidth="1"/>
    <col min="9485" max="9485" width="15.453125" style="151" customWidth="1"/>
    <col min="9486" max="9486" width="15.26953125" style="151" customWidth="1"/>
    <col min="9487" max="9729" width="8.7265625" style="151"/>
    <col min="9730" max="9730" width="10.7265625" style="151" customWidth="1"/>
    <col min="9731" max="9731" width="10.08984375" style="151" customWidth="1"/>
    <col min="9732" max="9732" width="18.26953125" style="151" customWidth="1"/>
    <col min="9733" max="9733" width="18.7265625" style="151" customWidth="1"/>
    <col min="9734" max="9734" width="17.36328125" style="151" bestFit="1" customWidth="1"/>
    <col min="9735" max="9735" width="17.26953125" style="151" bestFit="1" customWidth="1"/>
    <col min="9736" max="9736" width="17.26953125" style="151" customWidth="1"/>
    <col min="9737" max="9737" width="20" style="151" customWidth="1"/>
    <col min="9738" max="9738" width="17.26953125" style="151" customWidth="1"/>
    <col min="9739" max="9739" width="15.7265625" style="151" customWidth="1"/>
    <col min="9740" max="9740" width="13.36328125" style="151" customWidth="1"/>
    <col min="9741" max="9741" width="15.453125" style="151" customWidth="1"/>
    <col min="9742" max="9742" width="15.26953125" style="151" customWidth="1"/>
    <col min="9743" max="9985" width="8.7265625" style="151"/>
    <col min="9986" max="9986" width="10.7265625" style="151" customWidth="1"/>
    <col min="9987" max="9987" width="10.08984375" style="151" customWidth="1"/>
    <col min="9988" max="9988" width="18.26953125" style="151" customWidth="1"/>
    <col min="9989" max="9989" width="18.7265625" style="151" customWidth="1"/>
    <col min="9990" max="9990" width="17.36328125" style="151" bestFit="1" customWidth="1"/>
    <col min="9991" max="9991" width="17.26953125" style="151" bestFit="1" customWidth="1"/>
    <col min="9992" max="9992" width="17.26953125" style="151" customWidth="1"/>
    <col min="9993" max="9993" width="20" style="151" customWidth="1"/>
    <col min="9994" max="9994" width="17.26953125" style="151" customWidth="1"/>
    <col min="9995" max="9995" width="15.7265625" style="151" customWidth="1"/>
    <col min="9996" max="9996" width="13.36328125" style="151" customWidth="1"/>
    <col min="9997" max="9997" width="15.453125" style="151" customWidth="1"/>
    <col min="9998" max="9998" width="15.26953125" style="151" customWidth="1"/>
    <col min="9999" max="10241" width="8.7265625" style="151"/>
    <col min="10242" max="10242" width="10.7265625" style="151" customWidth="1"/>
    <col min="10243" max="10243" width="10.08984375" style="151" customWidth="1"/>
    <col min="10244" max="10244" width="18.26953125" style="151" customWidth="1"/>
    <col min="10245" max="10245" width="18.7265625" style="151" customWidth="1"/>
    <col min="10246" max="10246" width="17.36328125" style="151" bestFit="1" customWidth="1"/>
    <col min="10247" max="10247" width="17.26953125" style="151" bestFit="1" customWidth="1"/>
    <col min="10248" max="10248" width="17.26953125" style="151" customWidth="1"/>
    <col min="10249" max="10249" width="20" style="151" customWidth="1"/>
    <col min="10250" max="10250" width="17.26953125" style="151" customWidth="1"/>
    <col min="10251" max="10251" width="15.7265625" style="151" customWidth="1"/>
    <col min="10252" max="10252" width="13.36328125" style="151" customWidth="1"/>
    <col min="10253" max="10253" width="15.453125" style="151" customWidth="1"/>
    <col min="10254" max="10254" width="15.26953125" style="151" customWidth="1"/>
    <col min="10255" max="10497" width="8.7265625" style="151"/>
    <col min="10498" max="10498" width="10.7265625" style="151" customWidth="1"/>
    <col min="10499" max="10499" width="10.08984375" style="151" customWidth="1"/>
    <col min="10500" max="10500" width="18.26953125" style="151" customWidth="1"/>
    <col min="10501" max="10501" width="18.7265625" style="151" customWidth="1"/>
    <col min="10502" max="10502" width="17.36328125" style="151" bestFit="1" customWidth="1"/>
    <col min="10503" max="10503" width="17.26953125" style="151" bestFit="1" customWidth="1"/>
    <col min="10504" max="10504" width="17.26953125" style="151" customWidth="1"/>
    <col min="10505" max="10505" width="20" style="151" customWidth="1"/>
    <col min="10506" max="10506" width="17.26953125" style="151" customWidth="1"/>
    <col min="10507" max="10507" width="15.7265625" style="151" customWidth="1"/>
    <col min="10508" max="10508" width="13.36328125" style="151" customWidth="1"/>
    <col min="10509" max="10509" width="15.453125" style="151" customWidth="1"/>
    <col min="10510" max="10510" width="15.26953125" style="151" customWidth="1"/>
    <col min="10511" max="10753" width="8.7265625" style="151"/>
    <col min="10754" max="10754" width="10.7265625" style="151" customWidth="1"/>
    <col min="10755" max="10755" width="10.08984375" style="151" customWidth="1"/>
    <col min="10756" max="10756" width="18.26953125" style="151" customWidth="1"/>
    <col min="10757" max="10757" width="18.7265625" style="151" customWidth="1"/>
    <col min="10758" max="10758" width="17.36328125" style="151" bestFit="1" customWidth="1"/>
    <col min="10759" max="10759" width="17.26953125" style="151" bestFit="1" customWidth="1"/>
    <col min="10760" max="10760" width="17.26953125" style="151" customWidth="1"/>
    <col min="10761" max="10761" width="20" style="151" customWidth="1"/>
    <col min="10762" max="10762" width="17.26953125" style="151" customWidth="1"/>
    <col min="10763" max="10763" width="15.7265625" style="151" customWidth="1"/>
    <col min="10764" max="10764" width="13.36328125" style="151" customWidth="1"/>
    <col min="10765" max="10765" width="15.453125" style="151" customWidth="1"/>
    <col min="10766" max="10766" width="15.26953125" style="151" customWidth="1"/>
    <col min="10767" max="11009" width="8.7265625" style="151"/>
    <col min="11010" max="11010" width="10.7265625" style="151" customWidth="1"/>
    <col min="11011" max="11011" width="10.08984375" style="151" customWidth="1"/>
    <col min="11012" max="11012" width="18.26953125" style="151" customWidth="1"/>
    <col min="11013" max="11013" width="18.7265625" style="151" customWidth="1"/>
    <col min="11014" max="11014" width="17.36328125" style="151" bestFit="1" customWidth="1"/>
    <col min="11015" max="11015" width="17.26953125" style="151" bestFit="1" customWidth="1"/>
    <col min="11016" max="11016" width="17.26953125" style="151" customWidth="1"/>
    <col min="11017" max="11017" width="20" style="151" customWidth="1"/>
    <col min="11018" max="11018" width="17.26953125" style="151" customWidth="1"/>
    <col min="11019" max="11019" width="15.7265625" style="151" customWidth="1"/>
    <col min="11020" max="11020" width="13.36328125" style="151" customWidth="1"/>
    <col min="11021" max="11021" width="15.453125" style="151" customWidth="1"/>
    <col min="11022" max="11022" width="15.26953125" style="151" customWidth="1"/>
    <col min="11023" max="11265" width="8.7265625" style="151"/>
    <col min="11266" max="11266" width="10.7265625" style="151" customWidth="1"/>
    <col min="11267" max="11267" width="10.08984375" style="151" customWidth="1"/>
    <col min="11268" max="11268" width="18.26953125" style="151" customWidth="1"/>
    <col min="11269" max="11269" width="18.7265625" style="151" customWidth="1"/>
    <col min="11270" max="11270" width="17.36328125" style="151" bestFit="1" customWidth="1"/>
    <col min="11271" max="11271" width="17.26953125" style="151" bestFit="1" customWidth="1"/>
    <col min="11272" max="11272" width="17.26953125" style="151" customWidth="1"/>
    <col min="11273" max="11273" width="20" style="151" customWidth="1"/>
    <col min="11274" max="11274" width="17.26953125" style="151" customWidth="1"/>
    <col min="11275" max="11275" width="15.7265625" style="151" customWidth="1"/>
    <col min="11276" max="11276" width="13.36328125" style="151" customWidth="1"/>
    <col min="11277" max="11277" width="15.453125" style="151" customWidth="1"/>
    <col min="11278" max="11278" width="15.26953125" style="151" customWidth="1"/>
    <col min="11279" max="11521" width="8.7265625" style="151"/>
    <col min="11522" max="11522" width="10.7265625" style="151" customWidth="1"/>
    <col min="11523" max="11523" width="10.08984375" style="151" customWidth="1"/>
    <col min="11524" max="11524" width="18.26953125" style="151" customWidth="1"/>
    <col min="11525" max="11525" width="18.7265625" style="151" customWidth="1"/>
    <col min="11526" max="11526" width="17.36328125" style="151" bestFit="1" customWidth="1"/>
    <col min="11527" max="11527" width="17.26953125" style="151" bestFit="1" customWidth="1"/>
    <col min="11528" max="11528" width="17.26953125" style="151" customWidth="1"/>
    <col min="11529" max="11529" width="20" style="151" customWidth="1"/>
    <col min="11530" max="11530" width="17.26953125" style="151" customWidth="1"/>
    <col min="11531" max="11531" width="15.7265625" style="151" customWidth="1"/>
    <col min="11532" max="11532" width="13.36328125" style="151" customWidth="1"/>
    <col min="11533" max="11533" width="15.453125" style="151" customWidth="1"/>
    <col min="11534" max="11534" width="15.26953125" style="151" customWidth="1"/>
    <col min="11535" max="11777" width="8.7265625" style="151"/>
    <col min="11778" max="11778" width="10.7265625" style="151" customWidth="1"/>
    <col min="11779" max="11779" width="10.08984375" style="151" customWidth="1"/>
    <col min="11780" max="11780" width="18.26953125" style="151" customWidth="1"/>
    <col min="11781" max="11781" width="18.7265625" style="151" customWidth="1"/>
    <col min="11782" max="11782" width="17.36328125" style="151" bestFit="1" customWidth="1"/>
    <col min="11783" max="11783" width="17.26953125" style="151" bestFit="1" customWidth="1"/>
    <col min="11784" max="11784" width="17.26953125" style="151" customWidth="1"/>
    <col min="11785" max="11785" width="20" style="151" customWidth="1"/>
    <col min="11786" max="11786" width="17.26953125" style="151" customWidth="1"/>
    <col min="11787" max="11787" width="15.7265625" style="151" customWidth="1"/>
    <col min="11788" max="11788" width="13.36328125" style="151" customWidth="1"/>
    <col min="11789" max="11789" width="15.453125" style="151" customWidth="1"/>
    <col min="11790" max="11790" width="15.26953125" style="151" customWidth="1"/>
    <col min="11791" max="12033" width="8.7265625" style="151"/>
    <col min="12034" max="12034" width="10.7265625" style="151" customWidth="1"/>
    <col min="12035" max="12035" width="10.08984375" style="151" customWidth="1"/>
    <col min="12036" max="12036" width="18.26953125" style="151" customWidth="1"/>
    <col min="12037" max="12037" width="18.7265625" style="151" customWidth="1"/>
    <col min="12038" max="12038" width="17.36328125" style="151" bestFit="1" customWidth="1"/>
    <col min="12039" max="12039" width="17.26953125" style="151" bestFit="1" customWidth="1"/>
    <col min="12040" max="12040" width="17.26953125" style="151" customWidth="1"/>
    <col min="12041" max="12041" width="20" style="151" customWidth="1"/>
    <col min="12042" max="12042" width="17.26953125" style="151" customWidth="1"/>
    <col min="12043" max="12043" width="15.7265625" style="151" customWidth="1"/>
    <col min="12044" max="12044" width="13.36328125" style="151" customWidth="1"/>
    <col min="12045" max="12045" width="15.453125" style="151" customWidth="1"/>
    <col min="12046" max="12046" width="15.26953125" style="151" customWidth="1"/>
    <col min="12047" max="12289" width="8.7265625" style="151"/>
    <col min="12290" max="12290" width="10.7265625" style="151" customWidth="1"/>
    <col min="12291" max="12291" width="10.08984375" style="151" customWidth="1"/>
    <col min="12292" max="12292" width="18.26953125" style="151" customWidth="1"/>
    <col min="12293" max="12293" width="18.7265625" style="151" customWidth="1"/>
    <col min="12294" max="12294" width="17.36328125" style="151" bestFit="1" customWidth="1"/>
    <col min="12295" max="12295" width="17.26953125" style="151" bestFit="1" customWidth="1"/>
    <col min="12296" max="12296" width="17.26953125" style="151" customWidth="1"/>
    <col min="12297" max="12297" width="20" style="151" customWidth="1"/>
    <col min="12298" max="12298" width="17.26953125" style="151" customWidth="1"/>
    <col min="12299" max="12299" width="15.7265625" style="151" customWidth="1"/>
    <col min="12300" max="12300" width="13.36328125" style="151" customWidth="1"/>
    <col min="12301" max="12301" width="15.453125" style="151" customWidth="1"/>
    <col min="12302" max="12302" width="15.26953125" style="151" customWidth="1"/>
    <col min="12303" max="12545" width="8.7265625" style="151"/>
    <col min="12546" max="12546" width="10.7265625" style="151" customWidth="1"/>
    <col min="12547" max="12547" width="10.08984375" style="151" customWidth="1"/>
    <col min="12548" max="12548" width="18.26953125" style="151" customWidth="1"/>
    <col min="12549" max="12549" width="18.7265625" style="151" customWidth="1"/>
    <col min="12550" max="12550" width="17.36328125" style="151" bestFit="1" customWidth="1"/>
    <col min="12551" max="12551" width="17.26953125" style="151" bestFit="1" customWidth="1"/>
    <col min="12552" max="12552" width="17.26953125" style="151" customWidth="1"/>
    <col min="12553" max="12553" width="20" style="151" customWidth="1"/>
    <col min="12554" max="12554" width="17.26953125" style="151" customWidth="1"/>
    <col min="12555" max="12555" width="15.7265625" style="151" customWidth="1"/>
    <col min="12556" max="12556" width="13.36328125" style="151" customWidth="1"/>
    <col min="12557" max="12557" width="15.453125" style="151" customWidth="1"/>
    <col min="12558" max="12558" width="15.26953125" style="151" customWidth="1"/>
    <col min="12559" max="12801" width="8.7265625" style="151"/>
    <col min="12802" max="12802" width="10.7265625" style="151" customWidth="1"/>
    <col min="12803" max="12803" width="10.08984375" style="151" customWidth="1"/>
    <col min="12804" max="12804" width="18.26953125" style="151" customWidth="1"/>
    <col min="12805" max="12805" width="18.7265625" style="151" customWidth="1"/>
    <col min="12806" max="12806" width="17.36328125" style="151" bestFit="1" customWidth="1"/>
    <col min="12807" max="12807" width="17.26953125" style="151" bestFit="1" customWidth="1"/>
    <col min="12808" max="12808" width="17.26953125" style="151" customWidth="1"/>
    <col min="12809" max="12809" width="20" style="151" customWidth="1"/>
    <col min="12810" max="12810" width="17.26953125" style="151" customWidth="1"/>
    <col min="12811" max="12811" width="15.7265625" style="151" customWidth="1"/>
    <col min="12812" max="12812" width="13.36328125" style="151" customWidth="1"/>
    <col min="12813" max="12813" width="15.453125" style="151" customWidth="1"/>
    <col min="12814" max="12814" width="15.26953125" style="151" customWidth="1"/>
    <col min="12815" max="13057" width="8.7265625" style="151"/>
    <col min="13058" max="13058" width="10.7265625" style="151" customWidth="1"/>
    <col min="13059" max="13059" width="10.08984375" style="151" customWidth="1"/>
    <col min="13060" max="13060" width="18.26953125" style="151" customWidth="1"/>
    <col min="13061" max="13061" width="18.7265625" style="151" customWidth="1"/>
    <col min="13062" max="13062" width="17.36328125" style="151" bestFit="1" customWidth="1"/>
    <col min="13063" max="13063" width="17.26953125" style="151" bestFit="1" customWidth="1"/>
    <col min="13064" max="13064" width="17.26953125" style="151" customWidth="1"/>
    <col min="13065" max="13065" width="20" style="151" customWidth="1"/>
    <col min="13066" max="13066" width="17.26953125" style="151" customWidth="1"/>
    <col min="13067" max="13067" width="15.7265625" style="151" customWidth="1"/>
    <col min="13068" max="13068" width="13.36328125" style="151" customWidth="1"/>
    <col min="13069" max="13069" width="15.453125" style="151" customWidth="1"/>
    <col min="13070" max="13070" width="15.26953125" style="151" customWidth="1"/>
    <col min="13071" max="13313" width="8.7265625" style="151"/>
    <col min="13314" max="13314" width="10.7265625" style="151" customWidth="1"/>
    <col min="13315" max="13315" width="10.08984375" style="151" customWidth="1"/>
    <col min="13316" max="13316" width="18.26953125" style="151" customWidth="1"/>
    <col min="13317" max="13317" width="18.7265625" style="151" customWidth="1"/>
    <col min="13318" max="13318" width="17.36328125" style="151" bestFit="1" customWidth="1"/>
    <col min="13319" max="13319" width="17.26953125" style="151" bestFit="1" customWidth="1"/>
    <col min="13320" max="13320" width="17.26953125" style="151" customWidth="1"/>
    <col min="13321" max="13321" width="20" style="151" customWidth="1"/>
    <col min="13322" max="13322" width="17.26953125" style="151" customWidth="1"/>
    <col min="13323" max="13323" width="15.7265625" style="151" customWidth="1"/>
    <col min="13324" max="13324" width="13.36328125" style="151" customWidth="1"/>
    <col min="13325" max="13325" width="15.453125" style="151" customWidth="1"/>
    <col min="13326" max="13326" width="15.26953125" style="151" customWidth="1"/>
    <col min="13327" max="13569" width="8.7265625" style="151"/>
    <col min="13570" max="13570" width="10.7265625" style="151" customWidth="1"/>
    <col min="13571" max="13571" width="10.08984375" style="151" customWidth="1"/>
    <col min="13572" max="13572" width="18.26953125" style="151" customWidth="1"/>
    <col min="13573" max="13573" width="18.7265625" style="151" customWidth="1"/>
    <col min="13574" max="13574" width="17.36328125" style="151" bestFit="1" customWidth="1"/>
    <col min="13575" max="13575" width="17.26953125" style="151" bestFit="1" customWidth="1"/>
    <col min="13576" max="13576" width="17.26953125" style="151" customWidth="1"/>
    <col min="13577" max="13577" width="20" style="151" customWidth="1"/>
    <col min="13578" max="13578" width="17.26953125" style="151" customWidth="1"/>
    <col min="13579" max="13579" width="15.7265625" style="151" customWidth="1"/>
    <col min="13580" max="13580" width="13.36328125" style="151" customWidth="1"/>
    <col min="13581" max="13581" width="15.453125" style="151" customWidth="1"/>
    <col min="13582" max="13582" width="15.26953125" style="151" customWidth="1"/>
    <col min="13583" max="13825" width="8.7265625" style="151"/>
    <col min="13826" max="13826" width="10.7265625" style="151" customWidth="1"/>
    <col min="13827" max="13827" width="10.08984375" style="151" customWidth="1"/>
    <col min="13828" max="13828" width="18.26953125" style="151" customWidth="1"/>
    <col min="13829" max="13829" width="18.7265625" style="151" customWidth="1"/>
    <col min="13830" max="13830" width="17.36328125" style="151" bestFit="1" customWidth="1"/>
    <col min="13831" max="13831" width="17.26953125" style="151" bestFit="1" customWidth="1"/>
    <col min="13832" max="13832" width="17.26953125" style="151" customWidth="1"/>
    <col min="13833" max="13833" width="20" style="151" customWidth="1"/>
    <col min="13834" max="13834" width="17.26953125" style="151" customWidth="1"/>
    <col min="13835" max="13835" width="15.7265625" style="151" customWidth="1"/>
    <col min="13836" max="13836" width="13.36328125" style="151" customWidth="1"/>
    <col min="13837" max="13837" width="15.453125" style="151" customWidth="1"/>
    <col min="13838" max="13838" width="15.26953125" style="151" customWidth="1"/>
    <col min="13839" max="14081" width="8.7265625" style="151"/>
    <col min="14082" max="14082" width="10.7265625" style="151" customWidth="1"/>
    <col min="14083" max="14083" width="10.08984375" style="151" customWidth="1"/>
    <col min="14084" max="14084" width="18.26953125" style="151" customWidth="1"/>
    <col min="14085" max="14085" width="18.7265625" style="151" customWidth="1"/>
    <col min="14086" max="14086" width="17.36328125" style="151" bestFit="1" customWidth="1"/>
    <col min="14087" max="14087" width="17.26953125" style="151" bestFit="1" customWidth="1"/>
    <col min="14088" max="14088" width="17.26953125" style="151" customWidth="1"/>
    <col min="14089" max="14089" width="20" style="151" customWidth="1"/>
    <col min="14090" max="14090" width="17.26953125" style="151" customWidth="1"/>
    <col min="14091" max="14091" width="15.7265625" style="151" customWidth="1"/>
    <col min="14092" max="14092" width="13.36328125" style="151" customWidth="1"/>
    <col min="14093" max="14093" width="15.453125" style="151" customWidth="1"/>
    <col min="14094" max="14094" width="15.26953125" style="151" customWidth="1"/>
    <col min="14095" max="14337" width="8.7265625" style="151"/>
    <col min="14338" max="14338" width="10.7265625" style="151" customWidth="1"/>
    <col min="14339" max="14339" width="10.08984375" style="151" customWidth="1"/>
    <col min="14340" max="14340" width="18.26953125" style="151" customWidth="1"/>
    <col min="14341" max="14341" width="18.7265625" style="151" customWidth="1"/>
    <col min="14342" max="14342" width="17.36328125" style="151" bestFit="1" customWidth="1"/>
    <col min="14343" max="14343" width="17.26953125" style="151" bestFit="1" customWidth="1"/>
    <col min="14344" max="14344" width="17.26953125" style="151" customWidth="1"/>
    <col min="14345" max="14345" width="20" style="151" customWidth="1"/>
    <col min="14346" max="14346" width="17.26953125" style="151" customWidth="1"/>
    <col min="14347" max="14347" width="15.7265625" style="151" customWidth="1"/>
    <col min="14348" max="14348" width="13.36328125" style="151" customWidth="1"/>
    <col min="14349" max="14349" width="15.453125" style="151" customWidth="1"/>
    <col min="14350" max="14350" width="15.26953125" style="151" customWidth="1"/>
    <col min="14351" max="14593" width="8.7265625" style="151"/>
    <col min="14594" max="14594" width="10.7265625" style="151" customWidth="1"/>
    <col min="14595" max="14595" width="10.08984375" style="151" customWidth="1"/>
    <col min="14596" max="14596" width="18.26953125" style="151" customWidth="1"/>
    <col min="14597" max="14597" width="18.7265625" style="151" customWidth="1"/>
    <col min="14598" max="14598" width="17.36328125" style="151" bestFit="1" customWidth="1"/>
    <col min="14599" max="14599" width="17.26953125" style="151" bestFit="1" customWidth="1"/>
    <col min="14600" max="14600" width="17.26953125" style="151" customWidth="1"/>
    <col min="14601" max="14601" width="20" style="151" customWidth="1"/>
    <col min="14602" max="14602" width="17.26953125" style="151" customWidth="1"/>
    <col min="14603" max="14603" width="15.7265625" style="151" customWidth="1"/>
    <col min="14604" max="14604" width="13.36328125" style="151" customWidth="1"/>
    <col min="14605" max="14605" width="15.453125" style="151" customWidth="1"/>
    <col min="14606" max="14606" width="15.26953125" style="151" customWidth="1"/>
    <col min="14607" max="14849" width="8.7265625" style="151"/>
    <col min="14850" max="14850" width="10.7265625" style="151" customWidth="1"/>
    <col min="14851" max="14851" width="10.08984375" style="151" customWidth="1"/>
    <col min="14852" max="14852" width="18.26953125" style="151" customWidth="1"/>
    <col min="14853" max="14853" width="18.7265625" style="151" customWidth="1"/>
    <col min="14854" max="14854" width="17.36328125" style="151" bestFit="1" customWidth="1"/>
    <col min="14855" max="14855" width="17.26953125" style="151" bestFit="1" customWidth="1"/>
    <col min="14856" max="14856" width="17.26953125" style="151" customWidth="1"/>
    <col min="14857" max="14857" width="20" style="151" customWidth="1"/>
    <col min="14858" max="14858" width="17.26953125" style="151" customWidth="1"/>
    <col min="14859" max="14859" width="15.7265625" style="151" customWidth="1"/>
    <col min="14860" max="14860" width="13.36328125" style="151" customWidth="1"/>
    <col min="14861" max="14861" width="15.453125" style="151" customWidth="1"/>
    <col min="14862" max="14862" width="15.26953125" style="151" customWidth="1"/>
    <col min="14863" max="15105" width="8.7265625" style="151"/>
    <col min="15106" max="15106" width="10.7265625" style="151" customWidth="1"/>
    <col min="15107" max="15107" width="10.08984375" style="151" customWidth="1"/>
    <col min="15108" max="15108" width="18.26953125" style="151" customWidth="1"/>
    <col min="15109" max="15109" width="18.7265625" style="151" customWidth="1"/>
    <col min="15110" max="15110" width="17.36328125" style="151" bestFit="1" customWidth="1"/>
    <col min="15111" max="15111" width="17.26953125" style="151" bestFit="1" customWidth="1"/>
    <col min="15112" max="15112" width="17.26953125" style="151" customWidth="1"/>
    <col min="15113" max="15113" width="20" style="151" customWidth="1"/>
    <col min="15114" max="15114" width="17.26953125" style="151" customWidth="1"/>
    <col min="15115" max="15115" width="15.7265625" style="151" customWidth="1"/>
    <col min="15116" max="15116" width="13.36328125" style="151" customWidth="1"/>
    <col min="15117" max="15117" width="15.453125" style="151" customWidth="1"/>
    <col min="15118" max="15118" width="15.26953125" style="151" customWidth="1"/>
    <col min="15119" max="15361" width="8.7265625" style="151"/>
    <col min="15362" max="15362" width="10.7265625" style="151" customWidth="1"/>
    <col min="15363" max="15363" width="10.08984375" style="151" customWidth="1"/>
    <col min="15364" max="15364" width="18.26953125" style="151" customWidth="1"/>
    <col min="15365" max="15365" width="18.7265625" style="151" customWidth="1"/>
    <col min="15366" max="15366" width="17.36328125" style="151" bestFit="1" customWidth="1"/>
    <col min="15367" max="15367" width="17.26953125" style="151" bestFit="1" customWidth="1"/>
    <col min="15368" max="15368" width="17.26953125" style="151" customWidth="1"/>
    <col min="15369" max="15369" width="20" style="151" customWidth="1"/>
    <col min="15370" max="15370" width="17.26953125" style="151" customWidth="1"/>
    <col min="15371" max="15371" width="15.7265625" style="151" customWidth="1"/>
    <col min="15372" max="15372" width="13.36328125" style="151" customWidth="1"/>
    <col min="15373" max="15373" width="15.453125" style="151" customWidth="1"/>
    <col min="15374" max="15374" width="15.26953125" style="151" customWidth="1"/>
    <col min="15375" max="15617" width="8.7265625" style="151"/>
    <col min="15618" max="15618" width="10.7265625" style="151" customWidth="1"/>
    <col min="15619" max="15619" width="10.08984375" style="151" customWidth="1"/>
    <col min="15620" max="15620" width="18.26953125" style="151" customWidth="1"/>
    <col min="15621" max="15621" width="18.7265625" style="151" customWidth="1"/>
    <col min="15622" max="15622" width="17.36328125" style="151" bestFit="1" customWidth="1"/>
    <col min="15623" max="15623" width="17.26953125" style="151" bestFit="1" customWidth="1"/>
    <col min="15624" max="15624" width="17.26953125" style="151" customWidth="1"/>
    <col min="15625" max="15625" width="20" style="151" customWidth="1"/>
    <col min="15626" max="15626" width="17.26953125" style="151" customWidth="1"/>
    <col min="15627" max="15627" width="15.7265625" style="151" customWidth="1"/>
    <col min="15628" max="15628" width="13.36328125" style="151" customWidth="1"/>
    <col min="15629" max="15629" width="15.453125" style="151" customWidth="1"/>
    <col min="15630" max="15630" width="15.26953125" style="151" customWidth="1"/>
    <col min="15631" max="15873" width="8.7265625" style="151"/>
    <col min="15874" max="15874" width="10.7265625" style="151" customWidth="1"/>
    <col min="15875" max="15875" width="10.08984375" style="151" customWidth="1"/>
    <col min="15876" max="15876" width="18.26953125" style="151" customWidth="1"/>
    <col min="15877" max="15877" width="18.7265625" style="151" customWidth="1"/>
    <col min="15878" max="15878" width="17.36328125" style="151" bestFit="1" customWidth="1"/>
    <col min="15879" max="15879" width="17.26953125" style="151" bestFit="1" customWidth="1"/>
    <col min="15880" max="15880" width="17.26953125" style="151" customWidth="1"/>
    <col min="15881" max="15881" width="20" style="151" customWidth="1"/>
    <col min="15882" max="15882" width="17.26953125" style="151" customWidth="1"/>
    <col min="15883" max="15883" width="15.7265625" style="151" customWidth="1"/>
    <col min="15884" max="15884" width="13.36328125" style="151" customWidth="1"/>
    <col min="15885" max="15885" width="15.453125" style="151" customWidth="1"/>
    <col min="15886" max="15886" width="15.26953125" style="151" customWidth="1"/>
    <col min="15887" max="16129" width="8.7265625" style="151"/>
    <col min="16130" max="16130" width="10.7265625" style="151" customWidth="1"/>
    <col min="16131" max="16131" width="10.08984375" style="151" customWidth="1"/>
    <col min="16132" max="16132" width="18.26953125" style="151" customWidth="1"/>
    <col min="16133" max="16133" width="18.7265625" style="151" customWidth="1"/>
    <col min="16134" max="16134" width="17.36328125" style="151" bestFit="1" customWidth="1"/>
    <col min="16135" max="16135" width="17.26953125" style="151" bestFit="1" customWidth="1"/>
    <col min="16136" max="16136" width="17.26953125" style="151" customWidth="1"/>
    <col min="16137" max="16137" width="20" style="151" customWidth="1"/>
    <col min="16138" max="16138" width="17.26953125" style="151" customWidth="1"/>
    <col min="16139" max="16139" width="15.7265625" style="151" customWidth="1"/>
    <col min="16140" max="16140" width="13.36328125" style="151" customWidth="1"/>
    <col min="16141" max="16141" width="15.453125" style="151" customWidth="1"/>
    <col min="16142" max="16142" width="15.26953125" style="151" customWidth="1"/>
    <col min="16143" max="16384" width="8.7265625" style="151"/>
  </cols>
  <sheetData>
    <row r="1" spans="1:31" s="150" customFormat="1" ht="53.25" customHeight="1">
      <c r="A1" s="150" t="s">
        <v>59</v>
      </c>
      <c r="B1" s="150" t="s">
        <v>73</v>
      </c>
      <c r="C1" s="150" t="s">
        <v>729</v>
      </c>
      <c r="D1" s="150" t="s">
        <v>730</v>
      </c>
      <c r="E1" s="150" t="s">
        <v>731</v>
      </c>
      <c r="F1" s="150" t="s">
        <v>747</v>
      </c>
      <c r="G1" s="150" t="s">
        <v>794</v>
      </c>
      <c r="H1" s="150" t="s">
        <v>732</v>
      </c>
      <c r="I1" s="150" t="s">
        <v>733</v>
      </c>
      <c r="J1" s="150" t="s">
        <v>734</v>
      </c>
      <c r="K1" s="253" t="s">
        <v>748</v>
      </c>
      <c r="L1" s="253" t="s">
        <v>735</v>
      </c>
      <c r="M1"/>
      <c r="N1"/>
      <c r="O1"/>
      <c r="P1"/>
      <c r="Q1"/>
      <c r="R1"/>
      <c r="S1"/>
      <c r="T1"/>
      <c r="U1"/>
      <c r="V1"/>
      <c r="W1"/>
      <c r="X1"/>
      <c r="Y1"/>
      <c r="Z1"/>
      <c r="AA1"/>
      <c r="AB1"/>
      <c r="AC1"/>
      <c r="AD1"/>
      <c r="AE1"/>
    </row>
    <row r="2" spans="1:31" ht="14">
      <c r="A2" s="314" t="s">
        <v>786</v>
      </c>
      <c r="B2" s="314" t="s">
        <v>787</v>
      </c>
      <c r="C2" s="250">
        <f>可比案例总市值!F205/10000</f>
        <v>0</v>
      </c>
      <c r="D2" s="250"/>
      <c r="E2" s="250"/>
      <c r="F2" s="250"/>
      <c r="G2" s="250" t="e">
        <f>#REF!</f>
        <v>#REF!</v>
      </c>
      <c r="H2" s="250"/>
      <c r="I2" s="250"/>
      <c r="J2" s="250"/>
      <c r="K2" s="250"/>
      <c r="L2" s="250"/>
      <c r="M2"/>
      <c r="N2"/>
      <c r="O2"/>
      <c r="P2"/>
      <c r="Q2"/>
      <c r="R2"/>
      <c r="S2"/>
      <c r="T2"/>
      <c r="U2"/>
      <c r="V2"/>
      <c r="W2"/>
      <c r="X2"/>
      <c r="Y2"/>
      <c r="Z2"/>
      <c r="AA2"/>
      <c r="AB2"/>
      <c r="AC2"/>
      <c r="AD2"/>
      <c r="AE2"/>
    </row>
    <row r="3" spans="1:31" ht="14">
      <c r="A3" s="314" t="s">
        <v>788</v>
      </c>
      <c r="B3" s="314" t="s">
        <v>789</v>
      </c>
      <c r="C3" s="250">
        <f>可比案例总市值!L205/10000</f>
        <v>0</v>
      </c>
      <c r="D3" s="250"/>
      <c r="E3" s="250"/>
      <c r="F3" s="250"/>
      <c r="G3" s="250" t="e">
        <f>#REF!</f>
        <v>#REF!</v>
      </c>
      <c r="H3" s="250"/>
      <c r="I3" s="250"/>
      <c r="J3" s="250"/>
      <c r="K3" s="250"/>
      <c r="L3" s="250"/>
      <c r="M3"/>
      <c r="N3"/>
      <c r="O3"/>
      <c r="P3"/>
      <c r="Q3"/>
      <c r="R3"/>
      <c r="S3"/>
      <c r="T3"/>
      <c r="U3"/>
      <c r="V3"/>
      <c r="W3"/>
      <c r="X3"/>
      <c r="Y3"/>
      <c r="Z3"/>
      <c r="AA3"/>
      <c r="AB3"/>
      <c r="AC3"/>
      <c r="AD3"/>
      <c r="AE3"/>
    </row>
    <row r="4" spans="1:31" ht="14">
      <c r="A4" s="314" t="s">
        <v>790</v>
      </c>
      <c r="B4" s="314" t="s">
        <v>791</v>
      </c>
      <c r="C4" s="250">
        <f>可比案例总市值!R205/10000</f>
        <v>0</v>
      </c>
      <c r="D4" s="250"/>
      <c r="E4" s="250"/>
      <c r="F4" s="250"/>
      <c r="G4" s="250" t="e">
        <f>#REF!</f>
        <v>#REF!</v>
      </c>
      <c r="H4" s="250"/>
      <c r="I4" s="250"/>
      <c r="J4" s="250"/>
      <c r="K4" s="250"/>
      <c r="L4" s="250"/>
      <c r="M4"/>
      <c r="N4"/>
      <c r="O4"/>
      <c r="P4"/>
      <c r="Q4"/>
      <c r="R4"/>
      <c r="S4"/>
      <c r="T4"/>
      <c r="U4"/>
      <c r="V4"/>
      <c r="W4"/>
      <c r="X4"/>
      <c r="Y4"/>
      <c r="Z4"/>
      <c r="AA4"/>
      <c r="AB4"/>
      <c r="AC4"/>
      <c r="AD4"/>
      <c r="AE4"/>
    </row>
    <row r="5" spans="1:31" ht="14">
      <c r="A5" s="314" t="s">
        <v>792</v>
      </c>
      <c r="B5" s="314" t="s">
        <v>793</v>
      </c>
      <c r="C5" s="250">
        <f>可比案例总市值!X205/10000</f>
        <v>0</v>
      </c>
      <c r="D5" s="250"/>
      <c r="E5" s="250"/>
      <c r="F5" s="250"/>
      <c r="G5" s="250" t="e">
        <f>#REF!</f>
        <v>#REF!</v>
      </c>
      <c r="H5" s="250"/>
      <c r="I5" s="250"/>
      <c r="J5" s="250"/>
      <c r="K5" s="250"/>
      <c r="L5" s="250"/>
      <c r="M5"/>
      <c r="N5"/>
      <c r="O5"/>
      <c r="P5"/>
      <c r="Q5"/>
      <c r="R5"/>
      <c r="S5"/>
      <c r="T5"/>
      <c r="U5"/>
      <c r="V5"/>
      <c r="W5"/>
      <c r="X5"/>
      <c r="Y5"/>
      <c r="Z5"/>
      <c r="AA5"/>
      <c r="AB5"/>
      <c r="AC5"/>
      <c r="AD5"/>
      <c r="AE5"/>
    </row>
    <row r="6" spans="1:31" ht="14">
      <c r="A6" s="250"/>
      <c r="B6" s="250"/>
      <c r="C6" s="250"/>
      <c r="D6" s="250"/>
      <c r="E6" s="250"/>
      <c r="F6" s="250"/>
      <c r="G6" s="250"/>
      <c r="H6" s="250"/>
      <c r="I6" s="250"/>
      <c r="J6" s="250"/>
      <c r="K6" s="250"/>
      <c r="L6" s="250"/>
      <c r="M6"/>
      <c r="N6"/>
      <c r="O6"/>
      <c r="P6"/>
      <c r="Q6"/>
      <c r="R6"/>
      <c r="S6"/>
      <c r="T6"/>
      <c r="U6"/>
      <c r="V6"/>
      <c r="W6"/>
      <c r="X6"/>
      <c r="Y6"/>
      <c r="Z6"/>
      <c r="AA6"/>
      <c r="AB6"/>
      <c r="AC6"/>
      <c r="AD6"/>
      <c r="AE6"/>
    </row>
    <row r="7" spans="1:31" ht="14">
      <c r="A7" s="250"/>
      <c r="B7" s="250"/>
      <c r="C7" s="250"/>
      <c r="D7" s="250"/>
      <c r="E7" s="250"/>
      <c r="F7" s="250"/>
      <c r="G7" s="250"/>
      <c r="H7" s="250"/>
      <c r="I7" s="250"/>
      <c r="J7" s="250"/>
      <c r="K7" s="250"/>
      <c r="L7" s="250"/>
      <c r="M7"/>
      <c r="N7"/>
      <c r="O7"/>
      <c r="P7"/>
      <c r="Q7"/>
      <c r="R7"/>
      <c r="S7"/>
      <c r="T7"/>
      <c r="U7"/>
      <c r="V7"/>
      <c r="W7"/>
      <c r="X7"/>
      <c r="Y7"/>
      <c r="Z7"/>
      <c r="AA7"/>
      <c r="AB7"/>
      <c r="AC7"/>
      <c r="AD7"/>
      <c r="AE7"/>
    </row>
    <row r="8" spans="1:31">
      <c r="D8" s="153"/>
      <c r="I8" s="153"/>
      <c r="N8" s="238" t="e">
        <f>AVERAGE(N5:N7)</f>
        <v>#DIV/0!</v>
      </c>
    </row>
    <row r="9" spans="1:31" ht="14">
      <c r="A9" s="154" t="s">
        <v>351</v>
      </c>
      <c r="E9" s="152"/>
      <c r="F9"/>
      <c r="G9"/>
      <c r="H9"/>
      <c r="I9"/>
      <c r="J9"/>
      <c r="K9"/>
      <c r="L9"/>
      <c r="M9"/>
      <c r="N9"/>
      <c r="O9"/>
      <c r="P9"/>
    </row>
    <row r="10" spans="1:31" ht="14">
      <c r="A10" s="155"/>
      <c r="B10" s="155"/>
      <c r="C10" s="155"/>
      <c r="D10" s="155"/>
      <c r="E10" s="155"/>
      <c r="F10" s="155"/>
      <c r="G10" s="155"/>
      <c r="H10" s="155"/>
      <c r="I10"/>
      <c r="J10"/>
      <c r="K10"/>
      <c r="L10"/>
      <c r="M10"/>
      <c r="N10"/>
      <c r="O10"/>
      <c r="P10"/>
    </row>
    <row r="11" spans="1:31" ht="14">
      <c r="A11" s="156" t="s">
        <v>59</v>
      </c>
      <c r="B11" s="156" t="s">
        <v>73</v>
      </c>
      <c r="C11" s="156" t="s">
        <v>352</v>
      </c>
      <c r="D11" s="156" t="s">
        <v>353</v>
      </c>
      <c r="E11" s="156" t="s">
        <v>354</v>
      </c>
      <c r="F11" s="156" t="s">
        <v>384</v>
      </c>
      <c r="G11" s="156" t="s">
        <v>385</v>
      </c>
      <c r="H11" s="156" t="s">
        <v>412</v>
      </c>
      <c r="I11" s="156" t="s">
        <v>416</v>
      </c>
      <c r="J11" s="33" t="s">
        <v>417</v>
      </c>
      <c r="K11"/>
      <c r="L11"/>
      <c r="M11"/>
      <c r="N11"/>
      <c r="O11"/>
      <c r="P11"/>
    </row>
    <row r="12" spans="1:31" ht="14">
      <c r="A12" s="157" t="str">
        <f t="shared" ref="A12:B17" si="0">A2</f>
        <v>000988.SZ</v>
      </c>
      <c r="B12" s="157" t="str">
        <f t="shared" si="0"/>
        <v>华工科技</v>
      </c>
      <c r="C12" s="158" t="e">
        <f>(C2+D2)/N2</f>
        <v>#DIV/0!</v>
      </c>
      <c r="D12" s="158" t="e">
        <f>(C2+D2)/H2</f>
        <v>#DIV/0!</v>
      </c>
      <c r="E12" s="158" t="e">
        <f>(C2+D2)/L2</f>
        <v>#DIV/0!</v>
      </c>
      <c r="F12" s="158" t="e">
        <f>(D2+E2)/#REF!</f>
        <v>#REF!</v>
      </c>
      <c r="G12" s="158"/>
      <c r="H12" s="158"/>
      <c r="I12" s="158"/>
      <c r="J12" s="32"/>
      <c r="K12"/>
      <c r="L12"/>
      <c r="M12"/>
      <c r="N12"/>
      <c r="O12"/>
      <c r="P12"/>
    </row>
    <row r="13" spans="1:31" ht="14">
      <c r="A13" s="157" t="str">
        <f t="shared" si="0"/>
        <v>002008.SZ</v>
      </c>
      <c r="B13" s="157" t="str">
        <f t="shared" si="0"/>
        <v>大族激光</v>
      </c>
      <c r="C13" s="158" t="e">
        <f>(C3+D3)/N3</f>
        <v>#DIV/0!</v>
      </c>
      <c r="D13" s="158" t="e">
        <f>(C3+D3)/H3</f>
        <v>#DIV/0!</v>
      </c>
      <c r="E13" s="158" t="e">
        <f>(C3+D3)/L3</f>
        <v>#DIV/0!</v>
      </c>
      <c r="F13" s="158" t="e">
        <f>(D3+E3)/#REF!</f>
        <v>#REF!</v>
      </c>
      <c r="G13" s="158"/>
      <c r="H13" s="158"/>
      <c r="I13" s="158"/>
      <c r="J13" s="32"/>
      <c r="K13"/>
      <c r="L13"/>
      <c r="M13"/>
      <c r="N13"/>
      <c r="O13"/>
      <c r="P13"/>
    </row>
    <row r="14" spans="1:31" ht="14">
      <c r="A14" s="157" t="str">
        <f t="shared" si="0"/>
        <v>688025.SH</v>
      </c>
      <c r="B14" s="157" t="str">
        <f t="shared" si="0"/>
        <v>杰普特</v>
      </c>
      <c r="C14" s="158" t="e">
        <f>(C4+D4)/N4</f>
        <v>#DIV/0!</v>
      </c>
      <c r="D14" s="158" t="e">
        <f>(C4+D4)/H4</f>
        <v>#DIV/0!</v>
      </c>
      <c r="E14" s="158" t="e">
        <f>(C4+D4)/L4</f>
        <v>#DIV/0!</v>
      </c>
      <c r="F14" s="158" t="e">
        <f>(D4+E4)/#REF!</f>
        <v>#REF!</v>
      </c>
      <c r="G14" s="158"/>
      <c r="H14" s="158"/>
      <c r="I14" s="158"/>
      <c r="J14" s="32"/>
      <c r="K14"/>
      <c r="L14"/>
      <c r="M14"/>
      <c r="N14"/>
      <c r="O14"/>
      <c r="P14"/>
    </row>
    <row r="15" spans="1:31" ht="14">
      <c r="A15" s="157" t="str">
        <f t="shared" si="0"/>
        <v>300747.SZ</v>
      </c>
      <c r="B15" s="157" t="str">
        <f t="shared" si="0"/>
        <v>锐科激光</v>
      </c>
      <c r="C15" s="158" t="e">
        <f>(C5+D5)/I5</f>
        <v>#DIV/0!</v>
      </c>
      <c r="D15" s="158" t="e">
        <f t="shared" ref="D15:D17" si="1">(C5+D5)/G5</f>
        <v>#REF!</v>
      </c>
      <c r="E15" s="158" t="e">
        <f>(C5+D5)/H5</f>
        <v>#DIV/0!</v>
      </c>
      <c r="F15" s="158"/>
      <c r="G15" s="158"/>
      <c r="H15" s="158" t="e">
        <f>C5/F5</f>
        <v>#DIV/0!</v>
      </c>
      <c r="I15" s="158" t="e">
        <f>C5/J5</f>
        <v>#DIV/0!</v>
      </c>
      <c r="J15" s="128" t="e">
        <f>C5/K5</f>
        <v>#DIV/0!</v>
      </c>
      <c r="K15"/>
      <c r="L15"/>
      <c r="M15"/>
      <c r="N15"/>
      <c r="O15"/>
      <c r="P15"/>
    </row>
    <row r="16" spans="1:31" ht="14">
      <c r="A16" s="157">
        <f t="shared" si="0"/>
        <v>0</v>
      </c>
      <c r="B16" s="157">
        <f t="shared" si="0"/>
        <v>0</v>
      </c>
      <c r="C16" s="158" t="e">
        <f>(C6+D6)/I6</f>
        <v>#DIV/0!</v>
      </c>
      <c r="D16" s="158" t="e">
        <f t="shared" si="1"/>
        <v>#DIV/0!</v>
      </c>
      <c r="E16" s="158" t="e">
        <f>(C6+D6)/H6</f>
        <v>#DIV/0!</v>
      </c>
      <c r="F16" s="158"/>
      <c r="G16" s="158"/>
      <c r="H16" s="158" t="e">
        <f>C6/F6</f>
        <v>#DIV/0!</v>
      </c>
      <c r="I16" s="158" t="e">
        <f>C6/J6</f>
        <v>#DIV/0!</v>
      </c>
      <c r="J16" s="128" t="e">
        <f>C6/K6</f>
        <v>#DIV/0!</v>
      </c>
      <c r="K16"/>
      <c r="L16"/>
      <c r="M16"/>
      <c r="N16"/>
      <c r="O16"/>
      <c r="P16"/>
    </row>
    <row r="17" spans="1:16" ht="14">
      <c r="A17" s="157">
        <f t="shared" si="0"/>
        <v>0</v>
      </c>
      <c r="B17" s="157">
        <f t="shared" si="0"/>
        <v>0</v>
      </c>
      <c r="C17" s="158" t="e">
        <f>(C7+D7)/I7</f>
        <v>#DIV/0!</v>
      </c>
      <c r="D17" s="158" t="e">
        <f t="shared" si="1"/>
        <v>#DIV/0!</v>
      </c>
      <c r="E17" s="158" t="e">
        <f>(C7+D7)/H7</f>
        <v>#DIV/0!</v>
      </c>
      <c r="F17" s="158"/>
      <c r="G17" s="158"/>
      <c r="H17" s="158" t="e">
        <f>C7/F7</f>
        <v>#DIV/0!</v>
      </c>
      <c r="I17" s="158" t="e">
        <f>C7/J7</f>
        <v>#DIV/0!</v>
      </c>
      <c r="J17" s="128" t="e">
        <f>C7/K7</f>
        <v>#DIV/0!</v>
      </c>
      <c r="K17"/>
      <c r="L17"/>
      <c r="M17"/>
      <c r="N17"/>
      <c r="O17"/>
      <c r="P17"/>
    </row>
    <row r="18" spans="1:16" customFormat="1" ht="14">
      <c r="A18" s="151"/>
      <c r="B18" s="151"/>
      <c r="E18" s="199" t="e">
        <f>AVERAGE(E16:E17)</f>
        <v>#DIV/0!</v>
      </c>
      <c r="F18" s="199"/>
      <c r="G18" s="199"/>
    </row>
    <row r="19" spans="1:16" ht="14">
      <c r="A19" s="156" t="s">
        <v>59</v>
      </c>
      <c r="B19" s="156" t="s">
        <v>73</v>
      </c>
      <c r="C19" s="156" t="s">
        <v>352</v>
      </c>
      <c r="D19" s="156" t="s">
        <v>353</v>
      </c>
      <c r="E19" s="156" t="s">
        <v>354</v>
      </c>
      <c r="F19" s="206" t="str">
        <f>F11</f>
        <v>EBITDAR价值比率</v>
      </c>
      <c r="G19" s="206" t="str">
        <f>G11</f>
        <v>EBITDAR价值比率2</v>
      </c>
      <c r="H19" s="206" t="str">
        <f>H11</f>
        <v>P/S</v>
      </c>
      <c r="I19" s="206" t="str">
        <f>I11</f>
        <v>P/E</v>
      </c>
      <c r="J19" s="206" t="str">
        <f>J11</f>
        <v>P/B</v>
      </c>
      <c r="K19"/>
      <c r="L19"/>
      <c r="M19"/>
      <c r="N19"/>
      <c r="O19"/>
      <c r="P19"/>
    </row>
    <row r="20" spans="1:16" customFormat="1" ht="14">
      <c r="A20" s="157" t="str">
        <f t="shared" ref="A20:B25" si="2">A12</f>
        <v>000988.SZ</v>
      </c>
      <c r="B20" s="157" t="str">
        <f t="shared" si="2"/>
        <v>华工科技</v>
      </c>
      <c r="C20" s="158" t="e">
        <f>(C2+D2-E2+F2)/J2</f>
        <v>#DIV/0!</v>
      </c>
      <c r="D20" s="158" t="e">
        <f>(C2+D2-E2+F2)/H2</f>
        <v>#DIV/0!</v>
      </c>
      <c r="E20" s="158" t="e">
        <f>(C2+D2-E2+F2)/I2</f>
        <v>#DIV/0!</v>
      </c>
      <c r="F20" s="158" t="e">
        <f>(C2+D2+AD2*7-E2)/(AD2+L2)</f>
        <v>#DIV/0!</v>
      </c>
      <c r="G20" s="158" t="e">
        <f>(C2+D2-E2)/(AD2+L2)</f>
        <v>#DIV/0!</v>
      </c>
      <c r="H20" s="235" t="e">
        <f t="shared" ref="H20:H24" si="3">ROUND((C2-E2)/G2,4)</f>
        <v>#REF!</v>
      </c>
      <c r="I20" s="235" t="e">
        <f t="shared" ref="I20:I25" si="4">(C2-E2)/K2</f>
        <v>#DIV/0!</v>
      </c>
      <c r="J20" s="236" t="e">
        <f>(C2-E2)/(L2-E2)</f>
        <v>#DIV/0!</v>
      </c>
    </row>
    <row r="21" spans="1:16" ht="14">
      <c r="A21" s="157" t="str">
        <f t="shared" si="2"/>
        <v>002008.SZ</v>
      </c>
      <c r="B21" s="157" t="str">
        <f t="shared" si="2"/>
        <v>大族激光</v>
      </c>
      <c r="C21" s="158" t="e">
        <f t="shared" ref="C21:C25" si="5">(C3+D3-E3+F3)/J3</f>
        <v>#DIV/0!</v>
      </c>
      <c r="D21" s="158" t="e">
        <f t="shared" ref="D21:D25" si="6">(C3+D3-E3+F3)/H3</f>
        <v>#DIV/0!</v>
      </c>
      <c r="E21" s="158" t="e">
        <f t="shared" ref="E21:E25" si="7">(C3+D3-E3+F3)/I3</f>
        <v>#DIV/0!</v>
      </c>
      <c r="F21" s="158" t="e">
        <f>(C3+D3+AD3*7-E3)/(AD3+L3)</f>
        <v>#DIV/0!</v>
      </c>
      <c r="G21" s="158" t="e">
        <f>(C3+D3-E3)/(AD3+L3)</f>
        <v>#DIV/0!</v>
      </c>
      <c r="H21" s="235" t="e">
        <f t="shared" si="3"/>
        <v>#REF!</v>
      </c>
      <c r="I21" s="235" t="e">
        <f t="shared" si="4"/>
        <v>#DIV/0!</v>
      </c>
      <c r="J21" s="236" t="e">
        <f>(C3-E3)/(L3-E3)</f>
        <v>#DIV/0!</v>
      </c>
      <c r="K21"/>
      <c r="L21"/>
      <c r="M21"/>
      <c r="N21"/>
      <c r="O21"/>
      <c r="P21"/>
    </row>
    <row r="22" spans="1:16">
      <c r="A22" s="157" t="str">
        <f t="shared" si="2"/>
        <v>688025.SH</v>
      </c>
      <c r="B22" s="157" t="str">
        <f t="shared" si="2"/>
        <v>杰普特</v>
      </c>
      <c r="C22" s="158" t="e">
        <f t="shared" si="5"/>
        <v>#DIV/0!</v>
      </c>
      <c r="D22" s="158" t="e">
        <f t="shared" si="6"/>
        <v>#DIV/0!</v>
      </c>
      <c r="E22" s="158" t="e">
        <f t="shared" si="7"/>
        <v>#DIV/0!</v>
      </c>
      <c r="F22" s="158" t="e">
        <f>(C4+D4+AD4*7-E4)/(AD4+L4)</f>
        <v>#DIV/0!</v>
      </c>
      <c r="G22" s="158" t="e">
        <f>(C4+D4-E4)/(AD4+L4)</f>
        <v>#DIV/0!</v>
      </c>
      <c r="H22" s="235" t="e">
        <f t="shared" si="3"/>
        <v>#REF!</v>
      </c>
      <c r="I22" s="235" t="e">
        <f t="shared" si="4"/>
        <v>#DIV/0!</v>
      </c>
      <c r="J22" s="236" t="e">
        <f>(C4-E4)/(L4-E4)</f>
        <v>#DIV/0!</v>
      </c>
    </row>
    <row r="23" spans="1:16">
      <c r="A23" s="157" t="str">
        <f t="shared" si="2"/>
        <v>300747.SZ</v>
      </c>
      <c r="B23" s="157" t="str">
        <f t="shared" si="2"/>
        <v>锐科激光</v>
      </c>
      <c r="C23" s="158" t="e">
        <f t="shared" ref="C23:C24" si="8">(C5+D5-E5+F5)/J5</f>
        <v>#DIV/0!</v>
      </c>
      <c r="D23" s="158" t="e">
        <f t="shared" ref="D23:D24" si="9">(C5+D5-E5+F5)/H5</f>
        <v>#DIV/0!</v>
      </c>
      <c r="E23" s="158" t="e">
        <f t="shared" ref="E23:E24" si="10">(C5+D5-E5+F5)/I5</f>
        <v>#DIV/0!</v>
      </c>
      <c r="F23" s="158" t="e">
        <f>(C5+D5+AD5*7-E5)/(AD5+L5)</f>
        <v>#DIV/0!</v>
      </c>
      <c r="G23" s="158" t="e">
        <f>(C5+D5-E5)/(AD5+L5)</f>
        <v>#DIV/0!</v>
      </c>
      <c r="H23" s="235" t="e">
        <f>ROUND((C5-E5)/G5,4)</f>
        <v>#REF!</v>
      </c>
      <c r="I23" s="235" t="e">
        <f t="shared" si="4"/>
        <v>#DIV/0!</v>
      </c>
      <c r="J23" s="236" t="e">
        <f>(C5-E5)/(L5-E5)</f>
        <v>#DIV/0!</v>
      </c>
      <c r="K23" s="151" t="e">
        <f>H23/2</f>
        <v>#REF!</v>
      </c>
    </row>
    <row r="24" spans="1:16">
      <c r="A24" s="157">
        <f t="shared" si="2"/>
        <v>0</v>
      </c>
      <c r="B24" s="157">
        <f t="shared" si="2"/>
        <v>0</v>
      </c>
      <c r="C24" s="158" t="e">
        <f t="shared" si="8"/>
        <v>#DIV/0!</v>
      </c>
      <c r="D24" s="158" t="e">
        <f t="shared" si="9"/>
        <v>#DIV/0!</v>
      </c>
      <c r="E24" s="158" t="e">
        <f t="shared" si="10"/>
        <v>#DIV/0!</v>
      </c>
      <c r="F24" s="158" t="e">
        <f>(C6+D6+AD6*7-E6)/(AD6+L6)</f>
        <v>#DIV/0!</v>
      </c>
      <c r="G24" s="158" t="e">
        <f>(C6+D6-E6)/(AD6+L6)</f>
        <v>#DIV/0!</v>
      </c>
      <c r="H24" s="235" t="e">
        <f t="shared" si="3"/>
        <v>#DIV/0!</v>
      </c>
      <c r="I24" s="235" t="e">
        <f t="shared" si="4"/>
        <v>#DIV/0!</v>
      </c>
      <c r="J24" s="236" t="e">
        <f>(C6-E6)/(L6-E6)</f>
        <v>#DIV/0!</v>
      </c>
      <c r="K24" s="151" t="e">
        <f>H24/2</f>
        <v>#DIV/0!</v>
      </c>
    </row>
    <row r="25" spans="1:16" customFormat="1" ht="14">
      <c r="A25" s="157">
        <f t="shared" si="2"/>
        <v>0</v>
      </c>
      <c r="B25" s="157">
        <f t="shared" si="2"/>
        <v>0</v>
      </c>
      <c r="C25" s="158" t="e">
        <f t="shared" si="5"/>
        <v>#DIV/0!</v>
      </c>
      <c r="D25" s="158" t="e">
        <f t="shared" si="6"/>
        <v>#DIV/0!</v>
      </c>
      <c r="E25" s="158" t="e">
        <f t="shared" si="7"/>
        <v>#DIV/0!</v>
      </c>
      <c r="F25" s="158" t="e">
        <f>(C7+D7+AD7*7-E7)/(AD7+K7)</f>
        <v>#DIV/0!</v>
      </c>
      <c r="G25" s="158" t="e">
        <f>(C7+D7-E7)/(AD7+K7)</f>
        <v>#DIV/0!</v>
      </c>
      <c r="H25" s="235" t="e">
        <f>ROUND((C7-E7)/G7,4)</f>
        <v>#DIV/0!</v>
      </c>
      <c r="I25" s="235" t="e">
        <f t="shared" si="4"/>
        <v>#DIV/0!</v>
      </c>
      <c r="J25" s="236" t="e">
        <f>(C7-E7)/(K7-E7)</f>
        <v>#DIV/0!</v>
      </c>
      <c r="K25" s="151" t="e">
        <f>H25/2</f>
        <v>#DIV/0!</v>
      </c>
    </row>
    <row r="26" spans="1:16">
      <c r="A26" s="157"/>
      <c r="B26" s="159" t="s">
        <v>251</v>
      </c>
      <c r="C26" s="160" t="e">
        <f>AVERAGE(C24:C25)</f>
        <v>#DIV/0!</v>
      </c>
      <c r="D26" s="160" t="e">
        <f>AVERAGE(D24:D25)</f>
        <v>#DIV/0!</v>
      </c>
      <c r="E26" s="160" t="e">
        <f>AVERAGE(E24:E25)</f>
        <v>#DIV/0!</v>
      </c>
      <c r="F26" s="160" t="e">
        <f>AVERAGE(F23:F25)</f>
        <v>#DIV/0!</v>
      </c>
      <c r="G26" s="160" t="e">
        <f>AVERAGE(G23:G25)</f>
        <v>#DIV/0!</v>
      </c>
      <c r="H26" s="237" t="e">
        <f>AVERAGE(H23:H25)</f>
        <v>#REF!</v>
      </c>
      <c r="I26" s="237" t="e">
        <f>AVERAGE(I23:I25)</f>
        <v>#DIV/0!</v>
      </c>
      <c r="J26" s="237" t="e">
        <f>AVERAGE(J23:J25)</f>
        <v>#DIV/0!</v>
      </c>
    </row>
    <row r="28" spans="1:16">
      <c r="H28" s="200"/>
    </row>
    <row r="29" spans="1:16">
      <c r="H29" s="254" t="e">
        <f>H26</f>
        <v>#REF!</v>
      </c>
    </row>
    <row r="30" spans="1:16">
      <c r="E30" s="200"/>
      <c r="G30" s="205"/>
      <c r="H30" s="205" t="e">
        <f>H29*(1-流动性折扣!#REF!)</f>
        <v>#REF!</v>
      </c>
      <c r="J30" s="205"/>
      <c r="M30" s="205"/>
    </row>
    <row r="31" spans="1:16">
      <c r="H31" s="205" t="e">
        <f>H30*0.8*标的公司IS!G4</f>
        <v>#REF!</v>
      </c>
    </row>
  </sheetData>
  <phoneticPr fontId="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AFDDF-4D7E-4AF7-8071-B2FC86F5D488}">
  <dimension ref="A2:I44"/>
  <sheetViews>
    <sheetView topLeftCell="A7" workbookViewId="0">
      <selection activeCell="F26" sqref="F26"/>
    </sheetView>
  </sheetViews>
  <sheetFormatPr defaultRowHeight="14"/>
  <cols>
    <col min="1" max="2" width="21.36328125" customWidth="1"/>
    <col min="3" max="3" width="26.453125" customWidth="1"/>
    <col min="4" max="4" width="21.36328125" customWidth="1"/>
    <col min="5" max="5" width="18.08984375" customWidth="1"/>
    <col min="6" max="6" width="19.26953125" bestFit="1" customWidth="1"/>
    <col min="7" max="7" width="21.453125" customWidth="1"/>
    <col min="8" max="8" width="25.453125" customWidth="1"/>
    <col min="9" max="9" width="33" customWidth="1"/>
  </cols>
  <sheetData>
    <row r="2" spans="1:9" ht="49.5" customHeight="1">
      <c r="A2" s="304" t="s">
        <v>780</v>
      </c>
      <c r="B2" s="304" t="s">
        <v>781</v>
      </c>
      <c r="C2" s="318" t="s">
        <v>928</v>
      </c>
      <c r="D2" s="318" t="s">
        <v>937</v>
      </c>
      <c r="E2" s="318" t="s">
        <v>935</v>
      </c>
      <c r="F2" s="318" t="s">
        <v>930</v>
      </c>
      <c r="G2" s="318" t="s">
        <v>936</v>
      </c>
      <c r="H2" s="318" t="s">
        <v>938</v>
      </c>
      <c r="I2" s="318" t="s">
        <v>939</v>
      </c>
    </row>
    <row r="3" spans="1:9" ht="23.25" customHeight="1">
      <c r="A3" s="305" t="s">
        <v>827</v>
      </c>
      <c r="B3" s="366" t="s">
        <v>932</v>
      </c>
      <c r="C3" s="316">
        <f>可比案例总市值!E336</f>
        <v>0</v>
      </c>
      <c r="D3" s="316" t="e">
        <f>#REF!</f>
        <v>#REF!</v>
      </c>
      <c r="E3" s="316" t="e">
        <f>#REF!</f>
        <v>#REF!</v>
      </c>
      <c r="F3" s="306" t="e">
        <f>#REF!</f>
        <v>#REF!</v>
      </c>
      <c r="G3" s="307" t="e">
        <f>(C3+E3-F3)/D3</f>
        <v>#REF!</v>
      </c>
      <c r="H3" s="307" t="e">
        <f>'2-交易案例比较法'!#REF!</f>
        <v>#REF!</v>
      </c>
      <c r="I3" s="307" t="e">
        <f>ROUND(G3*H3,4)</f>
        <v>#REF!</v>
      </c>
    </row>
    <row r="4" spans="1:9" ht="23.25" customHeight="1">
      <c r="A4" s="305" t="s">
        <v>836</v>
      </c>
      <c r="B4" s="366" t="s">
        <v>933</v>
      </c>
      <c r="C4" s="316">
        <f>可比案例总市值!AS336</f>
        <v>0</v>
      </c>
      <c r="D4" s="316" t="e">
        <f>#REF!</f>
        <v>#REF!</v>
      </c>
      <c r="E4" s="316" t="e">
        <f>#REF!</f>
        <v>#REF!</v>
      </c>
      <c r="F4" s="306" t="e">
        <f>#REF!</f>
        <v>#REF!</v>
      </c>
      <c r="G4" s="307" t="e">
        <f>(C4+E4-F4)/D4</f>
        <v>#REF!</v>
      </c>
      <c r="H4" s="307" t="e">
        <f>'2-交易案例比较法'!#REF!</f>
        <v>#REF!</v>
      </c>
      <c r="I4" s="307" t="e">
        <f>ROUND(G4*H4,4)</f>
        <v>#REF!</v>
      </c>
    </row>
    <row r="5" spans="1:9" ht="23.25" customHeight="1">
      <c r="A5" s="305" t="s">
        <v>831</v>
      </c>
      <c r="B5" s="366" t="s">
        <v>934</v>
      </c>
      <c r="C5" s="316">
        <f>可比案例总市值!Y336</f>
        <v>0</v>
      </c>
      <c r="D5" s="316" t="e">
        <f>#REF!</f>
        <v>#REF!</v>
      </c>
      <c r="E5" s="316" t="e">
        <f>#REF!</f>
        <v>#REF!</v>
      </c>
      <c r="F5" s="306" t="e">
        <f>#REF!</f>
        <v>#REF!</v>
      </c>
      <c r="G5" s="307" t="e">
        <f>(C5+E5-F5)/D5</f>
        <v>#REF!</v>
      </c>
      <c r="H5" s="307" t="e">
        <f>'2-交易案例比较法'!#REF!</f>
        <v>#REF!</v>
      </c>
      <c r="I5" s="307" t="e">
        <f>ROUND(G5*H5,4)</f>
        <v>#REF!</v>
      </c>
    </row>
    <row r="6" spans="1:9" ht="23.25" customHeight="1">
      <c r="A6" s="305"/>
      <c r="B6" s="366" t="s">
        <v>940</v>
      </c>
      <c r="C6" s="316"/>
      <c r="D6" s="316"/>
      <c r="E6" s="316"/>
      <c r="F6" s="306"/>
      <c r="G6" s="307" t="e">
        <f>AVERAGE(G3:G5)</f>
        <v>#REF!</v>
      </c>
      <c r="H6" s="307"/>
      <c r="I6" s="307" t="e">
        <f>AVERAGE(I3:I5)</f>
        <v>#REF!</v>
      </c>
    </row>
    <row r="9" spans="1:9" ht="14.5" thickBot="1"/>
    <row r="10" spans="1:9" ht="24.75" customHeight="1" thickTop="1">
      <c r="A10" s="20" t="s">
        <v>68</v>
      </c>
      <c r="B10" s="47" t="s">
        <v>87</v>
      </c>
      <c r="C10" s="21" t="s">
        <v>69</v>
      </c>
      <c r="D10" s="21" t="s">
        <v>70</v>
      </c>
      <c r="E10" s="50" t="s">
        <v>88</v>
      </c>
    </row>
    <row r="11" spans="1:9" ht="24.75" customHeight="1">
      <c r="A11" s="22">
        <v>1</v>
      </c>
      <c r="B11" s="364" t="s">
        <v>931</v>
      </c>
      <c r="C11" s="134"/>
      <c r="D11" s="48" t="e">
        <f>I6</f>
        <v>#REF!</v>
      </c>
      <c r="E11" s="51" t="e">
        <f>D11</f>
        <v>#REF!</v>
      </c>
    </row>
    <row r="12" spans="1:9" ht="24.75" customHeight="1">
      <c r="A12" s="30">
        <v>2</v>
      </c>
      <c r="B12" s="45"/>
      <c r="C12" s="134"/>
      <c r="D12" s="229"/>
      <c r="E12" s="142">
        <f>D12</f>
        <v>0</v>
      </c>
    </row>
    <row r="13" spans="1:9" ht="24.75" customHeight="1" thickBot="1">
      <c r="A13" s="23" t="s">
        <v>67</v>
      </c>
      <c r="B13" s="46"/>
      <c r="C13" s="478"/>
      <c r="D13" s="479"/>
      <c r="E13" s="24" t="s">
        <v>66</v>
      </c>
    </row>
    <row r="14" spans="1:9" ht="14.5" hidden="1" thickTop="1">
      <c r="A14" s="18" t="s">
        <v>60</v>
      </c>
      <c r="B14" s="18"/>
      <c r="C14" s="16" t="e">
        <f>#REF!</f>
        <v>#REF!</v>
      </c>
      <c r="D14" s="19" t="s">
        <v>61</v>
      </c>
      <c r="E14" s="13"/>
    </row>
    <row r="15" spans="1:9" ht="14.5" hidden="1" thickTop="1">
      <c r="A15" s="18" t="s">
        <v>71</v>
      </c>
      <c r="B15" s="18"/>
      <c r="C15" s="28">
        <f>C13*1980</f>
        <v>0</v>
      </c>
      <c r="D15" s="29" t="s">
        <v>72</v>
      </c>
      <c r="E15" s="13"/>
    </row>
    <row r="16" spans="1:9" ht="14.5" hidden="1" thickTop="1">
      <c r="A16" s="18" t="s">
        <v>62</v>
      </c>
      <c r="B16" s="18"/>
      <c r="C16" s="16" t="e">
        <f>C14*C13</f>
        <v>#REF!</v>
      </c>
      <c r="D16" s="19" t="s">
        <v>63</v>
      </c>
      <c r="E16" s="13"/>
    </row>
    <row r="17" spans="1:8" ht="14.5" hidden="1" thickTop="1">
      <c r="A17" s="18" t="s">
        <v>64</v>
      </c>
      <c r="B17" s="18"/>
      <c r="C17" s="16" t="e">
        <f>#REF!</f>
        <v>#REF!</v>
      </c>
      <c r="D17" s="19" t="s">
        <v>63</v>
      </c>
      <c r="E17" s="13"/>
    </row>
    <row r="18" spans="1:8" ht="14.5" hidden="1" thickTop="1">
      <c r="A18" s="18" t="s">
        <v>65</v>
      </c>
      <c r="B18" s="18"/>
      <c r="C18" s="17" t="e">
        <f>C16/C17-1</f>
        <v>#REF!</v>
      </c>
      <c r="D18" s="9"/>
      <c r="E18" s="13"/>
    </row>
    <row r="19" spans="1:8" ht="14.5" hidden="1" thickTop="1">
      <c r="A19" s="18" t="s">
        <v>0</v>
      </c>
      <c r="B19" s="18"/>
      <c r="C19" s="16" t="e">
        <f>C16/C17</f>
        <v>#REF!</v>
      </c>
      <c r="D19" s="9"/>
      <c r="E19" s="13"/>
    </row>
    <row r="20" spans="1:8" ht="14.5" hidden="1" thickTop="1">
      <c r="D20" s="25" t="e">
        <f>C16*2000/402168.86</f>
        <v>#REF!</v>
      </c>
    </row>
    <row r="21" spans="1:8" ht="14.5" hidden="1" thickTop="1"/>
    <row r="22" spans="1:8" ht="14.5" hidden="1" thickTop="1"/>
    <row r="23" spans="1:8" ht="14.5" hidden="1" thickTop="1">
      <c r="C23" s="16" t="e">
        <f>C16-C17</f>
        <v>#REF!</v>
      </c>
    </row>
    <row r="24" spans="1:8" ht="14.5" thickTop="1"/>
    <row r="25" spans="1:8">
      <c r="A25" s="362" t="s">
        <v>929</v>
      </c>
      <c r="B25" s="26">
        <f>标的公司IS!F50</f>
        <v>0</v>
      </c>
      <c r="C25" s="26"/>
      <c r="D25" s="33"/>
      <c r="E25" s="75"/>
      <c r="F25" s="75"/>
      <c r="G25" s="76"/>
      <c r="H25" s="76"/>
    </row>
    <row r="26" spans="1:8">
      <c r="A26" s="362" t="s">
        <v>306</v>
      </c>
      <c r="B26" s="26">
        <f>标的公司IS!G4</f>
        <v>0</v>
      </c>
      <c r="C26" s="26"/>
      <c r="D26" s="33"/>
      <c r="E26" s="75"/>
      <c r="F26" s="75"/>
      <c r="G26" s="76"/>
      <c r="H26" s="76"/>
    </row>
    <row r="27" spans="1:8">
      <c r="A27" s="362" t="s">
        <v>795</v>
      </c>
      <c r="B27" s="12">
        <f>流动性折扣!G23</f>
        <v>0.38146954013236034</v>
      </c>
      <c r="C27" s="26"/>
      <c r="D27" s="33"/>
      <c r="E27" s="75"/>
      <c r="F27" s="75"/>
      <c r="G27" s="76"/>
      <c r="H27" s="76"/>
    </row>
    <row r="28" spans="1:8">
      <c r="A28" s="362" t="s">
        <v>799</v>
      </c>
      <c r="B28" s="12">
        <v>0</v>
      </c>
      <c r="C28" s="26"/>
      <c r="D28" s="33"/>
      <c r="E28" s="75"/>
      <c r="F28" s="75"/>
      <c r="G28" s="76"/>
      <c r="H28" s="76"/>
    </row>
    <row r="29" spans="1:8">
      <c r="A29" s="362" t="s">
        <v>746</v>
      </c>
      <c r="B29" s="27">
        <v>32219.7</v>
      </c>
      <c r="C29" s="26"/>
      <c r="D29" s="33"/>
      <c r="E29" s="75"/>
      <c r="F29" s="75"/>
      <c r="G29" s="76"/>
      <c r="H29" s="76"/>
    </row>
    <row r="30" spans="1:8">
      <c r="A30" s="362" t="s">
        <v>325</v>
      </c>
      <c r="B30" s="26">
        <v>33072.051689777298</v>
      </c>
      <c r="C30" s="26"/>
      <c r="D30" s="33" t="s">
        <v>72</v>
      </c>
    </row>
    <row r="31" spans="1:8">
      <c r="A31" s="362" t="s">
        <v>89</v>
      </c>
      <c r="B31" s="26" t="e">
        <f>ROUND(((B25*E11-B29)*(1-B27)+B30)*(1-B28),2)</f>
        <v>#REF!</v>
      </c>
      <c r="C31" s="87" t="s">
        <v>348</v>
      </c>
      <c r="D31" s="33" t="s">
        <v>72</v>
      </c>
      <c r="F31" s="76"/>
    </row>
    <row r="32" spans="1:8">
      <c r="A32" s="362" t="s">
        <v>803</v>
      </c>
      <c r="B32" s="365">
        <v>1</v>
      </c>
      <c r="C32" s="87"/>
      <c r="D32" s="33"/>
      <c r="F32" s="76"/>
    </row>
    <row r="33" spans="1:8">
      <c r="A33" s="362" t="s">
        <v>804</v>
      </c>
      <c r="B33" s="26" t="e">
        <f>ROUND(B31*B32,2)</f>
        <v>#REF!</v>
      </c>
      <c r="C33" s="87"/>
      <c r="D33" s="33"/>
      <c r="F33" s="76"/>
    </row>
    <row r="34" spans="1:8">
      <c r="C34" s="234"/>
    </row>
    <row r="35" spans="1:8">
      <c r="B35" t="s">
        <v>783</v>
      </c>
      <c r="C35" t="s">
        <v>784</v>
      </c>
    </row>
    <row r="36" spans="1:8">
      <c r="A36" s="35" t="s">
        <v>76</v>
      </c>
      <c r="B36" s="74" t="s">
        <v>782</v>
      </c>
      <c r="C36" s="74" t="s">
        <v>282</v>
      </c>
      <c r="D36" s="74" t="s">
        <v>283</v>
      </c>
      <c r="E36" s="74" t="s">
        <v>284</v>
      </c>
      <c r="F36" s="74" t="s">
        <v>785</v>
      </c>
      <c r="G36" s="74" t="s">
        <v>285</v>
      </c>
      <c r="H36" s="74"/>
    </row>
    <row r="37" spans="1:8">
      <c r="A37" s="77" t="e">
        <f>#REF!</f>
        <v>#REF!</v>
      </c>
      <c r="B37" s="78"/>
      <c r="C37" s="77" t="e">
        <f>B31</f>
        <v>#REF!</v>
      </c>
      <c r="D37" s="77" t="e">
        <f>C37-A37</f>
        <v>#REF!</v>
      </c>
      <c r="E37" s="79" t="e">
        <f>D37/A37</f>
        <v>#REF!</v>
      </c>
      <c r="F37" s="77" t="e">
        <f>B37-C37</f>
        <v>#REF!</v>
      </c>
      <c r="G37" s="79" t="e">
        <f>F37/C37</f>
        <v>#REF!</v>
      </c>
      <c r="H37" s="79"/>
    </row>
    <row r="38" spans="1:8">
      <c r="C38" s="230" t="e">
        <f>ROUND(C37,2)*10000</f>
        <v>#REF!</v>
      </c>
    </row>
    <row r="39" spans="1:8">
      <c r="C39" s="52"/>
    </row>
    <row r="42" spans="1:8">
      <c r="A42" s="35" t="s">
        <v>802</v>
      </c>
      <c r="B42" s="74" t="s">
        <v>782</v>
      </c>
      <c r="C42" s="74" t="s">
        <v>282</v>
      </c>
      <c r="D42" s="74" t="s">
        <v>283</v>
      </c>
      <c r="E42" s="74" t="s">
        <v>284</v>
      </c>
      <c r="F42" s="74" t="s">
        <v>785</v>
      </c>
      <c r="G42" s="74" t="s">
        <v>285</v>
      </c>
      <c r="H42" s="74"/>
    </row>
    <row r="43" spans="1:8">
      <c r="A43" s="77">
        <v>10137.200000000001</v>
      </c>
      <c r="B43" s="78"/>
      <c r="C43" s="77" t="e">
        <f>B33</f>
        <v>#REF!</v>
      </c>
      <c r="D43" s="77" t="e">
        <f>C43-A43</f>
        <v>#REF!</v>
      </c>
      <c r="E43" s="79" t="e">
        <f>D43/A43</f>
        <v>#REF!</v>
      </c>
      <c r="F43" s="77" t="e">
        <f>B43-C43</f>
        <v>#REF!</v>
      </c>
      <c r="G43" s="79" t="e">
        <f>F43/C43</f>
        <v>#REF!</v>
      </c>
      <c r="H43" s="79"/>
    </row>
    <row r="44" spans="1:8">
      <c r="C44" s="230" t="e">
        <f>ROUND(C43,2)*10000</f>
        <v>#REF!</v>
      </c>
    </row>
  </sheetData>
  <mergeCells count="1">
    <mergeCell ref="C13:D13"/>
  </mergeCells>
  <phoneticPr fontId="2"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100"/>
  <sheetViews>
    <sheetView topLeftCell="A25" zoomScaleNormal="100" workbookViewId="0">
      <selection activeCell="L6" sqref="L6"/>
    </sheetView>
  </sheetViews>
  <sheetFormatPr defaultColWidth="9" defaultRowHeight="13"/>
  <cols>
    <col min="1" max="1" width="7.453125" style="572" customWidth="1"/>
    <col min="2" max="2" width="14.36328125" style="572" bestFit="1" customWidth="1"/>
    <col min="3" max="3" width="12" style="428" bestFit="1" customWidth="1"/>
    <col min="4" max="4" width="13.6328125" style="428" customWidth="1"/>
    <col min="5" max="5" width="13.36328125" style="428" customWidth="1"/>
    <col min="6" max="6" width="10.54296875" style="428" customWidth="1"/>
    <col min="7" max="7" width="13" style="428" bestFit="1" customWidth="1"/>
    <col min="8" max="8" width="12.08984375" style="428" bestFit="1" customWidth="1"/>
    <col min="9" max="9" width="11.36328125" style="428" bestFit="1" customWidth="1"/>
    <col min="10" max="10" width="11.36328125" style="428" customWidth="1"/>
    <col min="11" max="11" width="9.453125" style="428" customWidth="1"/>
    <col min="12" max="12" width="11.36328125" style="428" customWidth="1"/>
    <col min="13" max="13" width="11.08984375" style="428" customWidth="1"/>
    <col min="14" max="14" width="10.90625" style="428" bestFit="1" customWidth="1"/>
    <col min="15" max="16" width="13" style="428" bestFit="1" customWidth="1"/>
    <col min="17" max="17" width="10.36328125" style="428" bestFit="1" customWidth="1"/>
    <col min="18" max="18" width="13" style="428" customWidth="1"/>
    <col min="19" max="20" width="9.6328125" style="428" customWidth="1"/>
    <col min="21" max="21" width="9.36328125" style="428" bestFit="1" customWidth="1"/>
    <col min="22" max="87" width="8.7265625" style="429" customWidth="1"/>
    <col min="88" max="16384" width="9" style="429"/>
  </cols>
  <sheetData>
    <row r="1" spans="1:21">
      <c r="A1" s="555"/>
      <c r="B1" s="555"/>
      <c r="C1" s="556"/>
      <c r="D1" s="556"/>
      <c r="E1" s="556"/>
      <c r="F1" s="556"/>
      <c r="G1" s="556"/>
      <c r="H1" s="556"/>
      <c r="I1" s="556"/>
      <c r="J1" s="557"/>
      <c r="K1" s="556"/>
      <c r="L1" s="557"/>
      <c r="M1" s="556"/>
      <c r="N1" s="556"/>
      <c r="O1" s="556"/>
      <c r="P1" s="556"/>
      <c r="Q1" s="556"/>
      <c r="R1" s="556"/>
      <c r="S1" s="556"/>
      <c r="T1" s="556"/>
      <c r="U1" s="556"/>
    </row>
    <row r="2" spans="1:21" ht="48">
      <c r="A2" s="558" t="s">
        <v>59</v>
      </c>
      <c r="B2" s="558" t="s">
        <v>73</v>
      </c>
      <c r="C2" s="559" t="s">
        <v>1189</v>
      </c>
      <c r="D2" s="559" t="s">
        <v>1186</v>
      </c>
      <c r="E2" s="559" t="s">
        <v>1187</v>
      </c>
      <c r="F2" s="559" t="s">
        <v>1184</v>
      </c>
      <c r="G2" s="559" t="s">
        <v>1190</v>
      </c>
      <c r="H2"/>
      <c r="I2"/>
      <c r="J2"/>
      <c r="L2" s="408"/>
      <c r="N2" s="429"/>
      <c r="O2" s="429"/>
      <c r="P2" s="429"/>
      <c r="Q2" s="429"/>
      <c r="R2" s="429"/>
      <c r="S2" s="429"/>
      <c r="T2" s="429"/>
      <c r="U2" s="429"/>
    </row>
    <row r="3" spans="1:21" ht="19.5" customHeight="1">
      <c r="A3" s="431">
        <v>1</v>
      </c>
      <c r="B3" s="560" t="s">
        <v>1185</v>
      </c>
      <c r="C3" s="561">
        <v>44593</v>
      </c>
      <c r="D3" s="562">
        <v>394914.05120661156</v>
      </c>
      <c r="E3" s="562">
        <v>537305.55920100003</v>
      </c>
      <c r="F3" s="563"/>
      <c r="G3" s="564">
        <v>0.73499999999999999</v>
      </c>
      <c r="H3"/>
      <c r="I3"/>
      <c r="J3"/>
      <c r="L3" s="408"/>
      <c r="N3" s="429"/>
      <c r="O3" s="429"/>
      <c r="P3" s="429"/>
      <c r="Q3" s="429"/>
      <c r="R3" s="429"/>
      <c r="S3" s="429"/>
      <c r="T3" s="429"/>
      <c r="U3" s="429"/>
    </row>
    <row r="4" spans="1:21" ht="19.5" customHeight="1">
      <c r="A4" s="431">
        <v>2</v>
      </c>
      <c r="B4" s="560" t="s">
        <v>1225</v>
      </c>
      <c r="C4" s="561">
        <v>45400</v>
      </c>
      <c r="D4" s="562">
        <v>158103.10545242738</v>
      </c>
      <c r="E4" s="562">
        <v>225077.04194200001</v>
      </c>
      <c r="F4" s="563"/>
      <c r="G4" s="564">
        <v>0.70240000000000002</v>
      </c>
      <c r="H4"/>
      <c r="I4"/>
      <c r="J4"/>
      <c r="K4" s="429"/>
      <c r="L4" s="408"/>
      <c r="N4" s="429"/>
      <c r="O4" s="429"/>
      <c r="P4" s="429"/>
      <c r="Q4" s="429"/>
      <c r="R4" s="429"/>
      <c r="S4" s="429"/>
      <c r="T4" s="429"/>
      <c r="U4" s="429"/>
    </row>
    <row r="5" spans="1:21" ht="19.5" customHeight="1">
      <c r="A5" s="431">
        <v>3</v>
      </c>
      <c r="B5" s="560" t="s">
        <v>1232</v>
      </c>
      <c r="C5" s="561">
        <v>45285</v>
      </c>
      <c r="D5" s="562">
        <v>396308.5575</v>
      </c>
      <c r="E5" s="562">
        <v>577531.10221399995</v>
      </c>
      <c r="F5" s="563"/>
      <c r="G5" s="564">
        <v>0.68620000000000003</v>
      </c>
      <c r="H5"/>
      <c r="I5"/>
      <c r="J5"/>
      <c r="K5" s="429"/>
      <c r="L5" s="408"/>
      <c r="N5" s="429"/>
      <c r="O5" s="429"/>
      <c r="P5" s="429"/>
      <c r="Q5" s="429"/>
      <c r="R5" s="429"/>
      <c r="S5" s="429"/>
      <c r="T5" s="429"/>
      <c r="U5" s="429"/>
    </row>
    <row r="6" spans="1:21" ht="19.5" customHeight="1">
      <c r="A6" s="565"/>
      <c r="B6" s="566"/>
      <c r="C6" s="567"/>
      <c r="D6" s="567"/>
      <c r="E6" s="568"/>
      <c r="F6" s="429"/>
      <c r="G6" s="569"/>
      <c r="H6" s="429"/>
      <c r="I6" s="415"/>
      <c r="J6" s="415"/>
      <c r="K6" s="570"/>
      <c r="L6" s="570"/>
      <c r="M6" s="415"/>
      <c r="N6" s="429"/>
      <c r="O6" s="429"/>
      <c r="P6" s="429"/>
      <c r="Q6" s="429"/>
      <c r="R6" s="429"/>
      <c r="S6" s="429"/>
      <c r="T6" s="429"/>
      <c r="U6" s="429"/>
    </row>
    <row r="7" spans="1:21" ht="19.5" customHeight="1">
      <c r="A7" s="565"/>
      <c r="B7" s="566"/>
      <c r="C7" s="567"/>
      <c r="D7" s="567"/>
      <c r="E7" s="568"/>
      <c r="F7" s="429"/>
      <c r="G7" s="569"/>
      <c r="H7" s="429"/>
      <c r="I7" s="415"/>
      <c r="J7" s="415"/>
      <c r="K7" s="570"/>
      <c r="L7" s="570"/>
      <c r="M7" s="415"/>
      <c r="N7" s="429"/>
      <c r="O7" s="429"/>
      <c r="P7" s="429"/>
      <c r="Q7" s="429"/>
      <c r="R7" s="429"/>
      <c r="S7" s="429"/>
      <c r="T7" s="429"/>
      <c r="U7" s="429"/>
    </row>
    <row r="8" spans="1:21" ht="19.5" customHeight="1">
      <c r="A8" s="429"/>
      <c r="B8" s="429"/>
      <c r="C8" s="415"/>
      <c r="D8" s="429"/>
      <c r="E8" s="429"/>
      <c r="F8" s="429"/>
      <c r="G8" s="570"/>
      <c r="H8" s="429"/>
      <c r="I8" s="570"/>
      <c r="J8" s="570"/>
      <c r="K8" s="429"/>
      <c r="L8" s="429"/>
      <c r="M8" s="570"/>
      <c r="N8" s="570"/>
      <c r="O8" s="429"/>
      <c r="P8" s="429"/>
      <c r="Q8" s="429"/>
      <c r="R8" s="429"/>
      <c r="S8" s="429"/>
      <c r="T8" s="429"/>
      <c r="U8" s="429"/>
    </row>
    <row r="9" spans="1:21">
      <c r="A9" s="571"/>
      <c r="F9" s="429"/>
      <c r="H9" s="573"/>
      <c r="N9" s="429"/>
      <c r="O9" s="429"/>
      <c r="P9" s="429"/>
      <c r="Q9" s="429"/>
      <c r="R9" s="429"/>
    </row>
    <row r="10" spans="1:21" customFormat="1" ht="14"/>
    <row r="11" spans="1:21">
      <c r="A11" s="574" t="s">
        <v>59</v>
      </c>
      <c r="B11" s="575" t="s">
        <v>421</v>
      </c>
      <c r="C11" s="576" t="s">
        <v>962</v>
      </c>
      <c r="D11" s="577"/>
      <c r="E11" s="577"/>
      <c r="F11" s="578"/>
      <c r="G11" s="425" t="s">
        <v>1234</v>
      </c>
      <c r="H11" s="483" t="s">
        <v>970</v>
      </c>
      <c r="I11" s="481"/>
      <c r="J11" s="484"/>
      <c r="K11" s="480" t="s">
        <v>971</v>
      </c>
      <c r="L11" s="481"/>
      <c r="M11" s="482"/>
      <c r="N11" s="483" t="s">
        <v>1235</v>
      </c>
      <c r="O11" s="481"/>
      <c r="P11" s="484"/>
      <c r="Q11" s="579" t="s">
        <v>1231</v>
      </c>
    </row>
    <row r="12" spans="1:21" s="583" customFormat="1" ht="26">
      <c r="A12" s="580"/>
      <c r="B12" s="581"/>
      <c r="C12" s="372" t="s">
        <v>963</v>
      </c>
      <c r="D12" s="372" t="s">
        <v>964</v>
      </c>
      <c r="E12" s="372" t="s">
        <v>965</v>
      </c>
      <c r="F12" s="579" t="s">
        <v>1236</v>
      </c>
      <c r="G12" s="372" t="s">
        <v>966</v>
      </c>
      <c r="H12" s="372" t="s">
        <v>967</v>
      </c>
      <c r="I12" s="372" t="s">
        <v>968</v>
      </c>
      <c r="J12" s="447" t="s">
        <v>1229</v>
      </c>
      <c r="K12" s="372" t="s">
        <v>969</v>
      </c>
      <c r="L12" s="447" t="s">
        <v>1230</v>
      </c>
      <c r="M12" s="372" t="s">
        <v>972</v>
      </c>
      <c r="N12" s="579" t="s">
        <v>1239</v>
      </c>
      <c r="O12" s="579" t="s">
        <v>1240</v>
      </c>
      <c r="P12" s="579" t="s">
        <v>1241</v>
      </c>
      <c r="Q12" s="579" t="s">
        <v>1189</v>
      </c>
      <c r="R12" s="582"/>
      <c r="S12" s="582"/>
      <c r="T12" s="582"/>
      <c r="U12" s="582"/>
    </row>
    <row r="13" spans="1:21">
      <c r="A13" s="431">
        <v>1</v>
      </c>
      <c r="B13" s="426" t="s">
        <v>1244</v>
      </c>
      <c r="C13" s="584">
        <v>8.7466666666666661</v>
      </c>
      <c r="D13" s="584">
        <v>0.73333333333333339</v>
      </c>
      <c r="E13" s="584">
        <v>37.216666666666669</v>
      </c>
      <c r="F13" s="585">
        <v>24.314954542322546</v>
      </c>
      <c r="G13" s="584">
        <v>8.8700359017924537</v>
      </c>
      <c r="H13" s="584">
        <v>1.51</v>
      </c>
      <c r="I13" s="586">
        <v>309.75333333333333</v>
      </c>
      <c r="J13" s="587">
        <v>55.863333333333337</v>
      </c>
      <c r="K13" s="584">
        <v>14.013333333333334</v>
      </c>
      <c r="L13" s="588">
        <v>12.885</v>
      </c>
      <c r="M13" s="584">
        <v>12.103333333333332</v>
      </c>
      <c r="N13" s="589">
        <v>588.77423545299996</v>
      </c>
      <c r="O13" s="589">
        <v>350.27511757759999</v>
      </c>
      <c r="P13" s="584">
        <v>474.93911322910003</v>
      </c>
      <c r="Q13" s="590">
        <v>44593</v>
      </c>
    </row>
    <row r="14" spans="1:21">
      <c r="A14" s="431">
        <v>2</v>
      </c>
      <c r="B14" s="426" t="s">
        <v>1245</v>
      </c>
      <c r="C14" s="584">
        <v>3.6024913487983654</v>
      </c>
      <c r="D14" s="584">
        <v>0.33036257062939084</v>
      </c>
      <c r="E14" s="584">
        <v>42.643333333333338</v>
      </c>
      <c r="F14" s="585">
        <v>43.735035831574592</v>
      </c>
      <c r="G14" s="584">
        <v>357.58305236940913</v>
      </c>
      <c r="H14" s="584">
        <v>3.1133333333333333</v>
      </c>
      <c r="I14" s="586">
        <v>137.43333333333331</v>
      </c>
      <c r="J14" s="587">
        <v>49.576666666666675</v>
      </c>
      <c r="K14" s="584">
        <v>14.606666666666667</v>
      </c>
      <c r="L14" s="588">
        <v>13.516666666666666</v>
      </c>
      <c r="M14" s="584">
        <v>13.516666666666666</v>
      </c>
      <c r="N14" s="589">
        <v>341.90279327509995</v>
      </c>
      <c r="O14" s="589">
        <v>180.8924589312</v>
      </c>
      <c r="P14" s="584">
        <v>260.65667343389998</v>
      </c>
      <c r="Q14" s="590">
        <v>45400</v>
      </c>
    </row>
    <row r="15" spans="1:21">
      <c r="A15" s="431">
        <v>3</v>
      </c>
      <c r="B15" s="426" t="s">
        <v>1246</v>
      </c>
      <c r="C15" s="584">
        <v>9.0893812956030846</v>
      </c>
      <c r="D15" s="584">
        <v>1.1138726056667183</v>
      </c>
      <c r="E15" s="584">
        <v>36.601751105415893</v>
      </c>
      <c r="F15" s="585">
        <v>17.862764838096464</v>
      </c>
      <c r="G15" s="584">
        <v>-11.868662342734252</v>
      </c>
      <c r="H15" s="584">
        <v>1.11759960990457</v>
      </c>
      <c r="I15" s="586">
        <v>271.57508869133835</v>
      </c>
      <c r="J15" s="587">
        <v>45.263333333333328</v>
      </c>
      <c r="K15" s="584">
        <v>14.365595439268475</v>
      </c>
      <c r="L15" s="588">
        <v>13.295840674042742</v>
      </c>
      <c r="M15" s="584">
        <v>13.295840674042742</v>
      </c>
      <c r="N15" s="589">
        <v>640.93896633609995</v>
      </c>
      <c r="O15" s="589">
        <v>407.09554732919997</v>
      </c>
      <c r="P15" s="584">
        <v>535.67918332739998</v>
      </c>
      <c r="Q15" s="590">
        <v>45285</v>
      </c>
    </row>
    <row r="16" spans="1:21">
      <c r="A16" s="591" t="s">
        <v>927</v>
      </c>
      <c r="B16" s="591" t="s">
        <v>1232</v>
      </c>
      <c r="C16" s="584">
        <v>9.0893812956030846</v>
      </c>
      <c r="D16" s="584">
        <v>1.1138726056667183</v>
      </c>
      <c r="E16" s="584">
        <v>36.601751105415893</v>
      </c>
      <c r="F16" s="585">
        <v>17.862764838096464</v>
      </c>
      <c r="G16" s="584">
        <v>-11.868662342734252</v>
      </c>
      <c r="H16" s="584">
        <v>1.11759960990457</v>
      </c>
      <c r="I16" s="586">
        <v>271.57508869133835</v>
      </c>
      <c r="J16" s="587">
        <v>45.263333333333328</v>
      </c>
      <c r="K16" s="584">
        <v>14.365595439268475</v>
      </c>
      <c r="L16" s="588">
        <v>13.295840674042742</v>
      </c>
      <c r="M16" s="584">
        <v>13.295840674042742</v>
      </c>
      <c r="N16" s="589">
        <v>640.93896633609995</v>
      </c>
      <c r="O16" s="589">
        <v>407.09554732919997</v>
      </c>
      <c r="P16" s="584">
        <v>535.67918332739998</v>
      </c>
      <c r="Q16" s="590">
        <v>45261</v>
      </c>
    </row>
    <row r="17" spans="1:21">
      <c r="A17" s="592" t="s">
        <v>1056</v>
      </c>
      <c r="B17" s="593"/>
      <c r="C17" s="594">
        <v>0.2</v>
      </c>
      <c r="D17" s="595">
        <v>0.1</v>
      </c>
      <c r="E17" s="595">
        <v>0.05</v>
      </c>
      <c r="F17" s="596"/>
      <c r="G17" s="595">
        <v>0.05</v>
      </c>
      <c r="H17" s="595">
        <v>0.1</v>
      </c>
      <c r="I17" s="595">
        <v>0.05</v>
      </c>
      <c r="J17" s="597"/>
      <c r="K17" s="595">
        <v>0.15</v>
      </c>
      <c r="L17" s="597"/>
      <c r="M17" s="595">
        <v>0.15</v>
      </c>
      <c r="N17" s="595">
        <v>0.05</v>
      </c>
      <c r="O17" s="595">
        <v>0.05</v>
      </c>
      <c r="P17" s="596"/>
      <c r="Q17" s="596"/>
    </row>
    <row r="18" spans="1:21">
      <c r="A18" s="598"/>
      <c r="B18" s="598"/>
      <c r="C18" s="595"/>
      <c r="D18" s="599"/>
      <c r="E18" s="599"/>
      <c r="F18" s="596"/>
      <c r="G18" s="596"/>
      <c r="H18" s="599"/>
      <c r="I18" s="599"/>
      <c r="J18" s="600"/>
      <c r="K18" s="599"/>
      <c r="L18" s="600"/>
      <c r="M18" s="599"/>
      <c r="N18" s="599"/>
      <c r="O18" s="599"/>
      <c r="P18" s="596"/>
      <c r="Q18" s="596"/>
    </row>
    <row r="19" spans="1:21">
      <c r="A19" s="601" t="s">
        <v>1105</v>
      </c>
      <c r="B19" s="602"/>
      <c r="C19" s="603" t="s">
        <v>1247</v>
      </c>
      <c r="D19" s="604"/>
      <c r="E19" s="604"/>
      <c r="F19" s="605"/>
      <c r="G19" s="606" t="s">
        <v>1248</v>
      </c>
      <c r="H19" s="603" t="s">
        <v>1249</v>
      </c>
      <c r="I19" s="604"/>
      <c r="J19" s="605"/>
      <c r="K19" s="607" t="s">
        <v>1250</v>
      </c>
      <c r="L19" s="608"/>
      <c r="M19" s="607"/>
      <c r="N19" s="609" t="s">
        <v>1251</v>
      </c>
      <c r="O19" s="610"/>
      <c r="P19" s="611"/>
      <c r="Q19" s="554" t="s">
        <v>1252</v>
      </c>
    </row>
    <row r="20" spans="1:21" s="583" customFormat="1" ht="30.75" customHeight="1">
      <c r="A20" s="612" t="s">
        <v>59</v>
      </c>
      <c r="B20" s="613" t="s">
        <v>421</v>
      </c>
      <c r="C20" s="614" t="s">
        <v>1253</v>
      </c>
      <c r="D20" s="614" t="s">
        <v>1254</v>
      </c>
      <c r="E20" s="614" t="s">
        <v>1255</v>
      </c>
      <c r="F20" s="554" t="s">
        <v>1256</v>
      </c>
      <c r="G20" s="614" t="s">
        <v>1257</v>
      </c>
      <c r="H20" s="614" t="s">
        <v>1258</v>
      </c>
      <c r="I20" s="614" t="s">
        <v>1259</v>
      </c>
      <c r="J20" s="614" t="s">
        <v>1229</v>
      </c>
      <c r="K20" s="614" t="s">
        <v>1260</v>
      </c>
      <c r="L20" s="614" t="s">
        <v>1230</v>
      </c>
      <c r="M20" s="614" t="s">
        <v>1261</v>
      </c>
      <c r="N20" s="615" t="s">
        <v>1262</v>
      </c>
      <c r="O20" s="615" t="s">
        <v>1263</v>
      </c>
      <c r="P20" s="615" t="s">
        <v>1264</v>
      </c>
      <c r="Q20" s="554" t="s">
        <v>1265</v>
      </c>
      <c r="R20" s="582"/>
      <c r="S20" s="582"/>
      <c r="T20" s="582"/>
      <c r="U20" s="582"/>
    </row>
    <row r="21" spans="1:21">
      <c r="A21" s="431">
        <v>1</v>
      </c>
      <c r="B21" s="426" t="s">
        <v>1244</v>
      </c>
      <c r="C21" s="616" t="s">
        <v>825</v>
      </c>
      <c r="D21" s="616" t="s">
        <v>825</v>
      </c>
      <c r="E21" s="616" t="s">
        <v>825</v>
      </c>
      <c r="F21" s="617" t="s">
        <v>287</v>
      </c>
      <c r="G21" s="616" t="s">
        <v>291</v>
      </c>
      <c r="H21" s="616" t="s">
        <v>1266</v>
      </c>
      <c r="I21" s="616" t="s">
        <v>826</v>
      </c>
      <c r="J21" s="616" t="s">
        <v>825</v>
      </c>
      <c r="K21" s="616" t="s">
        <v>825</v>
      </c>
      <c r="L21" s="616" t="s">
        <v>825</v>
      </c>
      <c r="M21" s="616" t="s">
        <v>825</v>
      </c>
      <c r="N21" s="616" t="s">
        <v>801</v>
      </c>
      <c r="O21" s="616" t="s">
        <v>801</v>
      </c>
      <c r="P21" s="616" t="s">
        <v>801</v>
      </c>
      <c r="Q21" s="617" t="s">
        <v>1191</v>
      </c>
    </row>
    <row r="22" spans="1:21">
      <c r="A22" s="431">
        <v>2</v>
      </c>
      <c r="B22" s="426" t="s">
        <v>1245</v>
      </c>
      <c r="C22" s="616" t="s">
        <v>340</v>
      </c>
      <c r="D22" s="616" t="s">
        <v>340</v>
      </c>
      <c r="E22" s="616" t="s">
        <v>340</v>
      </c>
      <c r="F22" s="617" t="s">
        <v>289</v>
      </c>
      <c r="G22" s="616" t="s">
        <v>826</v>
      </c>
      <c r="H22" s="616" t="s">
        <v>825</v>
      </c>
      <c r="I22" s="616" t="s">
        <v>340</v>
      </c>
      <c r="J22" s="616" t="s">
        <v>340</v>
      </c>
      <c r="K22" s="616" t="s">
        <v>825</v>
      </c>
      <c r="L22" s="616" t="s">
        <v>825</v>
      </c>
      <c r="M22" s="616" t="s">
        <v>826</v>
      </c>
      <c r="N22" s="616" t="s">
        <v>800</v>
      </c>
      <c r="O22" s="616" t="s">
        <v>800</v>
      </c>
      <c r="P22" s="616" t="s">
        <v>800</v>
      </c>
      <c r="Q22" s="617" t="s">
        <v>1233</v>
      </c>
    </row>
    <row r="23" spans="1:21">
      <c r="A23" s="431">
        <v>3</v>
      </c>
      <c r="B23" s="426" t="s">
        <v>1246</v>
      </c>
      <c r="C23" s="616" t="s">
        <v>825</v>
      </c>
      <c r="D23" s="616" t="s">
        <v>1266</v>
      </c>
      <c r="E23" s="616" t="s">
        <v>825</v>
      </c>
      <c r="F23" s="606" t="s">
        <v>1237</v>
      </c>
      <c r="G23" s="616" t="s">
        <v>1238</v>
      </c>
      <c r="H23" s="616" t="s">
        <v>826</v>
      </c>
      <c r="I23" s="616" t="s">
        <v>826</v>
      </c>
      <c r="J23" s="616" t="s">
        <v>340</v>
      </c>
      <c r="K23" s="616" t="s">
        <v>825</v>
      </c>
      <c r="L23" s="616" t="s">
        <v>825</v>
      </c>
      <c r="M23" s="616" t="s">
        <v>826</v>
      </c>
      <c r="N23" s="616" t="s">
        <v>801</v>
      </c>
      <c r="O23" s="616" t="s">
        <v>801</v>
      </c>
      <c r="P23" s="616" t="s">
        <v>801</v>
      </c>
      <c r="Q23" s="606" t="s">
        <v>1233</v>
      </c>
    </row>
    <row r="24" spans="1:21">
      <c r="A24" s="618" t="s">
        <v>1267</v>
      </c>
      <c r="B24" s="618" t="s">
        <v>1246</v>
      </c>
      <c r="C24" s="616" t="s">
        <v>825</v>
      </c>
      <c r="D24" s="616" t="s">
        <v>1266</v>
      </c>
      <c r="E24" s="616" t="s">
        <v>825</v>
      </c>
      <c r="F24" s="606" t="s">
        <v>1237</v>
      </c>
      <c r="G24" s="616" t="s">
        <v>1238</v>
      </c>
      <c r="H24" s="616" t="s">
        <v>826</v>
      </c>
      <c r="I24" s="616" t="s">
        <v>826</v>
      </c>
      <c r="J24" s="616" t="s">
        <v>340</v>
      </c>
      <c r="K24" s="616" t="s">
        <v>825</v>
      </c>
      <c r="L24" s="616" t="s">
        <v>825</v>
      </c>
      <c r="M24" s="616" t="s">
        <v>826</v>
      </c>
      <c r="N24" s="616" t="s">
        <v>801</v>
      </c>
      <c r="O24" s="616" t="s">
        <v>801</v>
      </c>
      <c r="P24" s="616" t="s">
        <v>801</v>
      </c>
      <c r="Q24" s="606" t="s">
        <v>1233</v>
      </c>
    </row>
    <row r="25" spans="1:21">
      <c r="A25" s="619"/>
      <c r="B25" s="619"/>
      <c r="C25" s="620"/>
      <c r="D25" s="621"/>
      <c r="E25" s="621"/>
      <c r="H25" s="621"/>
      <c r="I25" s="621"/>
      <c r="J25" s="621"/>
      <c r="K25" s="621"/>
      <c r="L25" s="621"/>
      <c r="M25" s="621"/>
      <c r="N25" s="620"/>
      <c r="O25" s="620"/>
    </row>
    <row r="26" spans="1:21">
      <c r="A26" s="619"/>
      <c r="B26" s="619"/>
      <c r="C26" s="622"/>
      <c r="D26" s="622"/>
      <c r="E26" s="622"/>
      <c r="G26" s="622"/>
      <c r="H26" s="621"/>
      <c r="I26" s="621"/>
      <c r="J26" s="621"/>
      <c r="K26" s="621"/>
      <c r="L26" s="621"/>
      <c r="M26" s="621"/>
      <c r="N26" s="621"/>
      <c r="O26" s="621"/>
    </row>
    <row r="27" spans="1:21">
      <c r="A27" s="623" t="s">
        <v>1105</v>
      </c>
      <c r="B27" s="602"/>
      <c r="C27" s="603" t="s">
        <v>1247</v>
      </c>
      <c r="D27" s="604"/>
      <c r="E27" s="604"/>
      <c r="F27" s="605"/>
      <c r="G27" s="606" t="s">
        <v>1248</v>
      </c>
      <c r="H27" s="603" t="s">
        <v>1249</v>
      </c>
      <c r="I27" s="604"/>
      <c r="J27" s="605"/>
      <c r="K27" s="607" t="s">
        <v>1250</v>
      </c>
      <c r="L27" s="608"/>
      <c r="M27" s="607"/>
      <c r="N27" s="609" t="s">
        <v>1251</v>
      </c>
      <c r="O27" s="610"/>
      <c r="P27" s="611"/>
      <c r="Q27" s="554" t="s">
        <v>1252</v>
      </c>
    </row>
    <row r="28" spans="1:21" s="583" customFormat="1" ht="26">
      <c r="A28" s="612" t="s">
        <v>59</v>
      </c>
      <c r="B28" s="613" t="s">
        <v>421</v>
      </c>
      <c r="C28" s="614" t="s">
        <v>1253</v>
      </c>
      <c r="D28" s="614" t="s">
        <v>1254</v>
      </c>
      <c r="E28" s="614" t="s">
        <v>1255</v>
      </c>
      <c r="F28" s="554" t="s">
        <v>1256</v>
      </c>
      <c r="G28" s="614" t="s">
        <v>1257</v>
      </c>
      <c r="H28" s="614" t="s">
        <v>1258</v>
      </c>
      <c r="I28" s="614" t="s">
        <v>1259</v>
      </c>
      <c r="J28" s="614" t="s">
        <v>1229</v>
      </c>
      <c r="K28" s="614" t="s">
        <v>1260</v>
      </c>
      <c r="L28" s="614" t="s">
        <v>1230</v>
      </c>
      <c r="M28" s="614" t="s">
        <v>1261</v>
      </c>
      <c r="N28" s="615" t="s">
        <v>1262</v>
      </c>
      <c r="O28" s="615" t="s">
        <v>1263</v>
      </c>
      <c r="P28" s="615" t="s">
        <v>1264</v>
      </c>
      <c r="Q28" s="554" t="s">
        <v>1265</v>
      </c>
      <c r="R28" s="582"/>
      <c r="S28" s="582"/>
      <c r="T28" s="582"/>
      <c r="U28" s="582"/>
    </row>
    <row r="29" spans="1:21">
      <c r="A29" s="431">
        <v>1</v>
      </c>
      <c r="B29" s="426" t="s">
        <v>1244</v>
      </c>
      <c r="C29" s="616">
        <v>100</v>
      </c>
      <c r="D29" s="616">
        <v>100</v>
      </c>
      <c r="E29" s="616">
        <v>100</v>
      </c>
      <c r="F29" s="616">
        <v>100</v>
      </c>
      <c r="G29" s="616">
        <v>103</v>
      </c>
      <c r="H29" s="616">
        <v>101</v>
      </c>
      <c r="I29" s="616">
        <v>102</v>
      </c>
      <c r="J29" s="616">
        <v>100</v>
      </c>
      <c r="K29" s="616">
        <v>100</v>
      </c>
      <c r="L29" s="616">
        <v>100</v>
      </c>
      <c r="M29" s="616">
        <v>100</v>
      </c>
      <c r="N29" s="616">
        <v>100</v>
      </c>
      <c r="O29" s="616">
        <v>100</v>
      </c>
      <c r="P29" s="616">
        <v>100</v>
      </c>
      <c r="Q29" s="589">
        <v>103</v>
      </c>
    </row>
    <row r="30" spans="1:21">
      <c r="A30" s="431">
        <v>2</v>
      </c>
      <c r="B30" s="426" t="s">
        <v>1245</v>
      </c>
      <c r="C30" s="616">
        <v>99</v>
      </c>
      <c r="D30" s="616">
        <v>99</v>
      </c>
      <c r="E30" s="616">
        <v>99</v>
      </c>
      <c r="F30" s="616">
        <v>108</v>
      </c>
      <c r="G30" s="616">
        <v>106</v>
      </c>
      <c r="H30" s="616">
        <v>100</v>
      </c>
      <c r="I30" s="616">
        <v>99</v>
      </c>
      <c r="J30" s="616">
        <v>99</v>
      </c>
      <c r="K30" s="616">
        <v>100</v>
      </c>
      <c r="L30" s="616">
        <v>100</v>
      </c>
      <c r="M30" s="616">
        <v>102</v>
      </c>
      <c r="N30" s="616">
        <v>99</v>
      </c>
      <c r="O30" s="616">
        <v>99</v>
      </c>
      <c r="P30" s="616">
        <v>99</v>
      </c>
      <c r="Q30" s="589">
        <v>100</v>
      </c>
    </row>
    <row r="31" spans="1:21">
      <c r="A31" s="431">
        <v>3</v>
      </c>
      <c r="B31" s="426" t="s">
        <v>1246</v>
      </c>
      <c r="C31" s="616">
        <v>100</v>
      </c>
      <c r="D31" s="616">
        <v>101</v>
      </c>
      <c r="E31" s="616">
        <v>100</v>
      </c>
      <c r="F31" s="616">
        <v>92</v>
      </c>
      <c r="G31" s="616">
        <v>94</v>
      </c>
      <c r="H31" s="616">
        <v>102</v>
      </c>
      <c r="I31" s="616">
        <v>102</v>
      </c>
      <c r="J31" s="616">
        <v>99</v>
      </c>
      <c r="K31" s="616">
        <v>100</v>
      </c>
      <c r="L31" s="616">
        <v>100</v>
      </c>
      <c r="M31" s="616">
        <v>102</v>
      </c>
      <c r="N31" s="616">
        <v>100</v>
      </c>
      <c r="O31" s="616">
        <v>100</v>
      </c>
      <c r="P31" s="616">
        <v>100</v>
      </c>
      <c r="Q31" s="589">
        <v>100</v>
      </c>
    </row>
    <row r="32" spans="1:21">
      <c r="A32" s="618" t="s">
        <v>1267</v>
      </c>
      <c r="B32" s="618" t="s">
        <v>1246</v>
      </c>
      <c r="C32" s="616">
        <v>100</v>
      </c>
      <c r="D32" s="616">
        <v>101</v>
      </c>
      <c r="E32" s="616">
        <v>100</v>
      </c>
      <c r="F32" s="616">
        <v>92</v>
      </c>
      <c r="G32" s="616">
        <v>94</v>
      </c>
      <c r="H32" s="616">
        <v>102</v>
      </c>
      <c r="I32" s="616">
        <v>102</v>
      </c>
      <c r="J32" s="616">
        <v>99</v>
      </c>
      <c r="K32" s="616">
        <v>100</v>
      </c>
      <c r="L32" s="616">
        <v>100</v>
      </c>
      <c r="M32" s="616">
        <v>102</v>
      </c>
      <c r="N32" s="616">
        <v>100</v>
      </c>
      <c r="O32" s="616">
        <v>100</v>
      </c>
      <c r="P32" s="616">
        <v>100</v>
      </c>
      <c r="Q32" s="589">
        <v>100</v>
      </c>
    </row>
    <row r="33" spans="1:21">
      <c r="A33" s="619"/>
      <c r="B33" s="619"/>
      <c r="C33" s="596"/>
      <c r="D33" s="596"/>
      <c r="E33" s="596"/>
      <c r="G33" s="596"/>
      <c r="H33" s="596"/>
      <c r="I33" s="596"/>
      <c r="J33" s="624"/>
      <c r="K33" s="596"/>
      <c r="L33" s="624"/>
      <c r="M33" s="596"/>
    </row>
    <row r="34" spans="1:21">
      <c r="A34" s="601" t="s">
        <v>1106</v>
      </c>
      <c r="B34" s="602"/>
      <c r="C34" s="603" t="s">
        <v>1247</v>
      </c>
      <c r="D34" s="604"/>
      <c r="E34" s="604"/>
      <c r="F34" s="605"/>
      <c r="G34" s="625" t="s">
        <v>1248</v>
      </c>
      <c r="H34" s="626" t="s">
        <v>1249</v>
      </c>
      <c r="I34" s="627"/>
      <c r="J34" s="628"/>
      <c r="K34" s="626" t="s">
        <v>1250</v>
      </c>
      <c r="L34" s="604"/>
      <c r="M34" s="627"/>
      <c r="N34" s="609" t="s">
        <v>1251</v>
      </c>
      <c r="O34" s="610"/>
      <c r="P34" s="611"/>
      <c r="Q34" s="554" t="s">
        <v>1252</v>
      </c>
    </row>
    <row r="35" spans="1:21" ht="26">
      <c r="A35" s="612" t="s">
        <v>59</v>
      </c>
      <c r="B35" s="613" t="s">
        <v>421</v>
      </c>
      <c r="C35" s="614" t="s">
        <v>1253</v>
      </c>
      <c r="D35" s="614" t="s">
        <v>1254</v>
      </c>
      <c r="E35" s="614" t="s">
        <v>1255</v>
      </c>
      <c r="F35" s="554" t="s">
        <v>1256</v>
      </c>
      <c r="G35" s="614" t="s">
        <v>1257</v>
      </c>
      <c r="H35" s="614" t="s">
        <v>1258</v>
      </c>
      <c r="I35" s="614" t="s">
        <v>1259</v>
      </c>
      <c r="J35" s="614" t="s">
        <v>1229</v>
      </c>
      <c r="K35" s="614" t="s">
        <v>1260</v>
      </c>
      <c r="L35" s="614" t="s">
        <v>1230</v>
      </c>
      <c r="M35" s="614" t="s">
        <v>1261</v>
      </c>
      <c r="N35" s="615" t="s">
        <v>1262</v>
      </c>
      <c r="O35" s="615" t="s">
        <v>1263</v>
      </c>
      <c r="P35" s="615" t="s">
        <v>1264</v>
      </c>
      <c r="Q35" s="554" t="s">
        <v>1265</v>
      </c>
    </row>
    <row r="36" spans="1:21">
      <c r="A36" s="431">
        <v>1</v>
      </c>
      <c r="B36" s="426" t="s">
        <v>1244</v>
      </c>
      <c r="C36" s="427">
        <v>1</v>
      </c>
      <c r="D36" s="427">
        <v>1.01</v>
      </c>
      <c r="E36" s="427">
        <v>1</v>
      </c>
      <c r="F36" s="427">
        <v>0.92</v>
      </c>
      <c r="G36" s="427">
        <v>0.91262135922330101</v>
      </c>
      <c r="H36" s="427">
        <v>1.0099009900990099</v>
      </c>
      <c r="I36" s="427">
        <v>1</v>
      </c>
      <c r="J36" s="427">
        <v>0.99</v>
      </c>
      <c r="K36" s="427">
        <v>1</v>
      </c>
      <c r="L36" s="427">
        <v>1</v>
      </c>
      <c r="M36" s="427">
        <v>1.02</v>
      </c>
      <c r="N36" s="427">
        <v>1</v>
      </c>
      <c r="O36" s="427">
        <v>1</v>
      </c>
      <c r="P36" s="427">
        <v>1</v>
      </c>
      <c r="Q36" s="427">
        <v>0.970873786407767</v>
      </c>
    </row>
    <row r="37" spans="1:21">
      <c r="A37" s="431">
        <v>2</v>
      </c>
      <c r="B37" s="426" t="s">
        <v>1245</v>
      </c>
      <c r="C37" s="427">
        <v>1.0101010101010102</v>
      </c>
      <c r="D37" s="427">
        <v>1.0202020202020201</v>
      </c>
      <c r="E37" s="427">
        <v>1.0101010101010102</v>
      </c>
      <c r="F37" s="427">
        <v>0.85185185185185186</v>
      </c>
      <c r="G37" s="427">
        <v>0.8867924528301887</v>
      </c>
      <c r="H37" s="427">
        <v>1.02</v>
      </c>
      <c r="I37" s="427">
        <v>1.0303030303030303</v>
      </c>
      <c r="J37" s="427">
        <v>1</v>
      </c>
      <c r="K37" s="427">
        <v>1</v>
      </c>
      <c r="L37" s="427">
        <v>1</v>
      </c>
      <c r="M37" s="427">
        <v>1</v>
      </c>
      <c r="N37" s="427">
        <v>1.0101010101010102</v>
      </c>
      <c r="O37" s="427">
        <v>1.0101010101010102</v>
      </c>
      <c r="P37" s="427">
        <v>1.0101010101010102</v>
      </c>
      <c r="Q37" s="427">
        <v>1</v>
      </c>
    </row>
    <row r="38" spans="1:21">
      <c r="A38" s="431">
        <v>3</v>
      </c>
      <c r="B38" s="426" t="s">
        <v>1246</v>
      </c>
      <c r="C38" s="427">
        <v>1</v>
      </c>
      <c r="D38" s="427">
        <v>1</v>
      </c>
      <c r="E38" s="427">
        <v>1</v>
      </c>
      <c r="F38" s="427">
        <v>1</v>
      </c>
      <c r="G38" s="427">
        <v>1</v>
      </c>
      <c r="H38" s="427">
        <v>1</v>
      </c>
      <c r="I38" s="427">
        <v>1</v>
      </c>
      <c r="J38" s="427">
        <v>1</v>
      </c>
      <c r="K38" s="427">
        <v>1</v>
      </c>
      <c r="L38" s="427">
        <v>1</v>
      </c>
      <c r="M38" s="427">
        <v>1</v>
      </c>
      <c r="N38" s="427">
        <v>1</v>
      </c>
      <c r="O38" s="427">
        <v>1</v>
      </c>
      <c r="P38" s="427">
        <v>1</v>
      </c>
      <c r="Q38" s="427">
        <v>1</v>
      </c>
    </row>
    <row r="39" spans="1:21">
      <c r="A39" s="618" t="s">
        <v>1267</v>
      </c>
      <c r="B39" s="618" t="s">
        <v>1246</v>
      </c>
      <c r="C39" s="427">
        <v>1</v>
      </c>
      <c r="D39" s="427">
        <v>1</v>
      </c>
      <c r="E39" s="427">
        <v>1</v>
      </c>
      <c r="F39" s="427">
        <v>1</v>
      </c>
      <c r="G39" s="427">
        <v>1</v>
      </c>
      <c r="H39" s="427">
        <v>1</v>
      </c>
      <c r="I39" s="427">
        <v>1</v>
      </c>
      <c r="J39" s="427">
        <v>1</v>
      </c>
      <c r="K39" s="427">
        <v>1</v>
      </c>
      <c r="L39" s="427">
        <v>1</v>
      </c>
      <c r="M39" s="427">
        <v>1</v>
      </c>
      <c r="N39" s="427">
        <v>1</v>
      </c>
      <c r="O39" s="427">
        <v>1</v>
      </c>
      <c r="P39" s="427">
        <v>1</v>
      </c>
      <c r="Q39" s="427">
        <v>1</v>
      </c>
    </row>
    <row r="40" spans="1:21">
      <c r="A40" s="619"/>
      <c r="B40" s="619"/>
    </row>
    <row r="41" spans="1:21">
      <c r="A41" s="619"/>
      <c r="B41" s="619"/>
      <c r="S41" s="629"/>
    </row>
    <row r="42" spans="1:21">
      <c r="A42" s="429"/>
      <c r="B42" s="429"/>
      <c r="C42" s="429"/>
      <c r="D42" s="429"/>
      <c r="E42" s="429"/>
      <c r="F42" s="429"/>
      <c r="G42" s="429"/>
      <c r="H42" s="429"/>
      <c r="I42" s="429"/>
      <c r="J42" s="429"/>
      <c r="K42" s="429"/>
      <c r="L42" s="429"/>
      <c r="M42" s="429"/>
      <c r="N42" s="429"/>
      <c r="O42" s="429"/>
      <c r="P42" s="429"/>
      <c r="Q42" s="429"/>
      <c r="R42" s="429"/>
      <c r="S42" s="429"/>
      <c r="T42" s="429"/>
      <c r="U42" s="429"/>
    </row>
    <row r="43" spans="1:21">
      <c r="A43" s="429"/>
      <c r="B43" s="429"/>
      <c r="C43" s="429"/>
      <c r="D43" s="429"/>
      <c r="E43" s="429"/>
      <c r="F43" s="429"/>
      <c r="G43" s="429"/>
      <c r="H43" s="429"/>
      <c r="I43" s="429"/>
      <c r="J43" s="429"/>
      <c r="K43" s="429"/>
      <c r="L43" s="429"/>
      <c r="M43" s="429"/>
      <c r="N43" s="429"/>
      <c r="O43" s="429"/>
      <c r="P43" s="429"/>
      <c r="Q43" s="429"/>
      <c r="R43" s="429"/>
      <c r="S43" s="429"/>
      <c r="T43" s="429"/>
      <c r="U43" s="429"/>
    </row>
    <row r="44" spans="1:21">
      <c r="A44" s="429"/>
      <c r="B44" s="429"/>
      <c r="C44" s="429"/>
      <c r="D44" s="429"/>
      <c r="E44" s="429"/>
      <c r="F44" s="429"/>
      <c r="G44" s="429"/>
      <c r="H44" s="429"/>
      <c r="I44" s="429"/>
      <c r="J44" s="429"/>
      <c r="K44" s="429"/>
      <c r="L44" s="429"/>
      <c r="M44" s="429"/>
      <c r="N44" s="429"/>
      <c r="O44" s="429"/>
      <c r="P44" s="429"/>
      <c r="Q44" s="429"/>
      <c r="R44" s="429"/>
      <c r="S44" s="429"/>
      <c r="T44" s="429"/>
      <c r="U44" s="429"/>
    </row>
    <row r="45" spans="1:21">
      <c r="A45" s="429"/>
      <c r="B45" s="429"/>
      <c r="C45" s="429"/>
      <c r="D45" s="429"/>
      <c r="E45" s="429"/>
      <c r="F45" s="429"/>
      <c r="G45" s="429"/>
      <c r="H45" s="429"/>
      <c r="I45" s="429"/>
      <c r="J45" s="429"/>
      <c r="K45" s="429"/>
      <c r="L45" s="429"/>
      <c r="M45" s="429"/>
      <c r="N45" s="429"/>
      <c r="O45" s="429"/>
      <c r="P45" s="429"/>
      <c r="Q45" s="429"/>
      <c r="R45" s="429"/>
      <c r="S45" s="429"/>
      <c r="T45" s="429"/>
      <c r="U45" s="429"/>
    </row>
    <row r="46" spans="1:21">
      <c r="A46" s="429"/>
      <c r="B46" s="429"/>
      <c r="C46" s="429"/>
      <c r="D46" s="429"/>
      <c r="E46" s="429"/>
      <c r="F46" s="429"/>
      <c r="G46" s="429"/>
      <c r="H46" s="429"/>
      <c r="I46" s="429"/>
      <c r="J46" s="429"/>
      <c r="K46" s="429"/>
      <c r="L46" s="429"/>
      <c r="M46" s="429"/>
      <c r="N46" s="429"/>
      <c r="O46" s="429"/>
      <c r="P46" s="429"/>
      <c r="Q46" s="429"/>
      <c r="R46" s="429"/>
      <c r="S46" s="429"/>
      <c r="T46" s="429"/>
      <c r="U46" s="429"/>
    </row>
    <row r="47" spans="1:21">
      <c r="A47" s="429"/>
      <c r="B47" s="429"/>
      <c r="C47" s="429"/>
      <c r="D47" s="429"/>
      <c r="E47" s="429"/>
      <c r="F47" s="429"/>
      <c r="G47" s="429"/>
      <c r="H47" s="429"/>
      <c r="I47" s="429"/>
      <c r="J47" s="429"/>
      <c r="K47" s="429"/>
      <c r="L47" s="429"/>
      <c r="M47" s="429"/>
      <c r="N47" s="429"/>
      <c r="O47" s="429"/>
      <c r="P47" s="429"/>
      <c r="Q47" s="429"/>
      <c r="R47" s="429"/>
      <c r="S47" s="429"/>
      <c r="T47" s="429"/>
      <c r="U47" s="429"/>
    </row>
    <row r="48" spans="1:21">
      <c r="A48" s="429"/>
      <c r="B48" s="429"/>
      <c r="C48" s="429"/>
      <c r="D48" s="429"/>
      <c r="E48" s="429"/>
      <c r="F48" s="429"/>
      <c r="G48" s="429"/>
      <c r="H48" s="429"/>
      <c r="I48" s="429"/>
      <c r="J48" s="429"/>
      <c r="K48" s="429"/>
      <c r="L48" s="429"/>
      <c r="M48" s="429"/>
      <c r="N48" s="429"/>
      <c r="O48" s="429"/>
      <c r="P48" s="429"/>
      <c r="Q48" s="429"/>
      <c r="R48" s="429"/>
      <c r="S48" s="429"/>
      <c r="T48" s="429"/>
      <c r="U48" s="429"/>
    </row>
    <row r="49" spans="1:21">
      <c r="A49" s="429"/>
      <c r="B49" s="429"/>
      <c r="C49" s="429"/>
      <c r="D49" s="429"/>
      <c r="E49" s="429"/>
      <c r="F49" s="429"/>
      <c r="G49" s="429"/>
      <c r="H49" s="429"/>
      <c r="I49" s="429"/>
      <c r="J49" s="429"/>
      <c r="K49" s="429"/>
      <c r="L49" s="429"/>
      <c r="M49" s="429"/>
      <c r="N49" s="429"/>
      <c r="O49" s="429"/>
      <c r="P49" s="429"/>
      <c r="Q49" s="429"/>
      <c r="R49" s="429"/>
      <c r="S49" s="429"/>
      <c r="T49" s="429"/>
      <c r="U49" s="429"/>
    </row>
    <row r="50" spans="1:21" ht="12.75" customHeight="1">
      <c r="A50" s="429"/>
      <c r="B50" s="429"/>
      <c r="C50" s="429"/>
      <c r="D50" s="429"/>
      <c r="E50" s="429"/>
      <c r="F50" s="429"/>
      <c r="G50" s="429"/>
      <c r="H50" s="429"/>
      <c r="I50" s="429"/>
      <c r="J50" s="429"/>
      <c r="K50" s="429"/>
      <c r="L50" s="429"/>
      <c r="M50" s="429"/>
      <c r="N50" s="429"/>
      <c r="O50" s="429"/>
      <c r="P50" s="429"/>
      <c r="Q50" s="429"/>
      <c r="R50" s="429"/>
      <c r="S50" s="429"/>
      <c r="T50" s="429"/>
      <c r="U50" s="429"/>
    </row>
    <row r="51" spans="1:21" ht="12.75" customHeight="1">
      <c r="A51" s="429"/>
      <c r="B51" s="429"/>
      <c r="C51" s="429"/>
      <c r="D51" s="429"/>
      <c r="E51" s="429"/>
      <c r="F51" s="429"/>
      <c r="G51" s="429"/>
      <c r="H51" s="429"/>
      <c r="I51" s="429"/>
      <c r="J51" s="429"/>
      <c r="K51" s="429"/>
      <c r="L51" s="429"/>
      <c r="M51" s="429"/>
      <c r="N51" s="429"/>
      <c r="O51" s="429"/>
      <c r="P51" s="429"/>
      <c r="Q51" s="429"/>
      <c r="R51" s="429"/>
      <c r="S51" s="429"/>
      <c r="T51" s="429"/>
      <c r="U51" s="429"/>
    </row>
    <row r="52" spans="1:21" ht="24" customHeight="1">
      <c r="A52" s="429"/>
      <c r="B52" s="429"/>
      <c r="C52" s="429"/>
      <c r="D52" s="429"/>
      <c r="E52" s="429"/>
      <c r="F52" s="429"/>
      <c r="G52" s="429"/>
      <c r="H52" s="429"/>
      <c r="I52" s="429"/>
      <c r="J52" s="429"/>
      <c r="K52" s="429"/>
      <c r="L52" s="429"/>
      <c r="M52" s="429"/>
      <c r="N52" s="429"/>
      <c r="O52" s="429"/>
      <c r="P52" s="429"/>
      <c r="Q52" s="429"/>
      <c r="R52" s="429"/>
      <c r="S52" s="429"/>
      <c r="T52" s="429"/>
      <c r="U52" s="429"/>
    </row>
    <row r="53" spans="1:21" ht="12.75" customHeight="1">
      <c r="A53" s="429"/>
      <c r="B53" s="429"/>
      <c r="C53" s="429"/>
      <c r="D53" s="429"/>
      <c r="E53" s="429"/>
      <c r="F53" s="429"/>
      <c r="G53" s="429"/>
      <c r="H53" s="429"/>
      <c r="I53" s="429"/>
      <c r="J53" s="429"/>
      <c r="K53" s="429"/>
      <c r="L53" s="429"/>
      <c r="M53" s="429"/>
      <c r="N53" s="429"/>
      <c r="O53" s="429"/>
      <c r="P53" s="429"/>
      <c r="Q53" s="429"/>
      <c r="R53" s="429"/>
      <c r="S53" s="429"/>
      <c r="T53" s="429"/>
      <c r="U53" s="429"/>
    </row>
    <row r="54" spans="1:21" ht="12.75" customHeight="1">
      <c r="A54" s="429"/>
      <c r="B54" s="429"/>
      <c r="C54" s="429"/>
      <c r="D54" s="429"/>
      <c r="E54" s="429"/>
      <c r="F54" s="429"/>
      <c r="G54" s="429"/>
      <c r="H54" s="429"/>
      <c r="I54" s="429"/>
      <c r="J54" s="429"/>
      <c r="K54" s="429"/>
      <c r="L54" s="429"/>
      <c r="M54" s="429"/>
      <c r="N54" s="429"/>
      <c r="O54" s="429"/>
      <c r="P54" s="429"/>
      <c r="Q54" s="429"/>
      <c r="R54" s="429"/>
      <c r="S54" s="429"/>
      <c r="T54" s="429"/>
      <c r="U54" s="429"/>
    </row>
    <row r="55" spans="1:21" ht="12.75" customHeight="1">
      <c r="A55" s="429"/>
      <c r="B55" s="429"/>
      <c r="C55" s="429"/>
      <c r="D55" s="429"/>
      <c r="E55" s="429"/>
      <c r="F55" s="429"/>
      <c r="G55" s="429"/>
      <c r="H55" s="429"/>
      <c r="I55" s="429"/>
      <c r="J55" s="429"/>
      <c r="K55" s="429"/>
      <c r="L55" s="429"/>
      <c r="M55" s="429"/>
      <c r="N55" s="429"/>
      <c r="O55" s="429"/>
      <c r="P55" s="429"/>
      <c r="Q55" s="429"/>
      <c r="R55" s="429"/>
      <c r="S55" s="429"/>
      <c r="T55" s="429"/>
      <c r="U55" s="429"/>
    </row>
    <row r="56" spans="1:21" ht="12.75" customHeight="1">
      <c r="A56" s="429"/>
      <c r="B56" s="429"/>
      <c r="C56" s="429"/>
      <c r="D56" s="429"/>
      <c r="E56" s="429"/>
      <c r="F56" s="429"/>
      <c r="G56" s="429"/>
      <c r="H56" s="429"/>
      <c r="I56" s="429"/>
      <c r="J56" s="429"/>
      <c r="K56" s="429"/>
      <c r="L56" s="429"/>
      <c r="M56" s="429"/>
      <c r="N56" s="429"/>
      <c r="O56" s="429"/>
      <c r="P56" s="429"/>
      <c r="Q56" s="429"/>
      <c r="R56" s="429"/>
      <c r="S56" s="429"/>
      <c r="T56" s="429"/>
      <c r="U56" s="429"/>
    </row>
    <row r="57" spans="1:21" ht="12.75" customHeight="1">
      <c r="A57" s="429"/>
      <c r="B57" s="429"/>
      <c r="C57" s="429"/>
      <c r="D57" s="429"/>
      <c r="E57" s="429"/>
      <c r="F57" s="429"/>
      <c r="G57" s="429"/>
      <c r="H57" s="429"/>
      <c r="I57" s="429"/>
      <c r="J57" s="429"/>
      <c r="K57" s="429"/>
      <c r="L57" s="429"/>
      <c r="M57" s="429"/>
      <c r="N57" s="429"/>
      <c r="O57" s="429"/>
      <c r="P57" s="429"/>
      <c r="Q57" s="429"/>
      <c r="R57" s="429"/>
      <c r="S57" s="429"/>
      <c r="T57" s="429"/>
      <c r="U57" s="429"/>
    </row>
    <row r="58" spans="1:21" ht="12.75" customHeight="1">
      <c r="A58" s="429"/>
      <c r="B58" s="429"/>
      <c r="C58" s="429"/>
      <c r="D58" s="429"/>
      <c r="E58" s="429"/>
      <c r="F58" s="429"/>
      <c r="G58" s="429"/>
      <c r="H58" s="429"/>
      <c r="I58" s="429"/>
      <c r="J58" s="429"/>
      <c r="K58" s="429"/>
      <c r="L58" s="429"/>
      <c r="M58" s="429"/>
      <c r="N58" s="429"/>
      <c r="O58" s="429"/>
      <c r="P58" s="429"/>
      <c r="Q58" s="429"/>
      <c r="R58" s="429"/>
      <c r="S58" s="429"/>
      <c r="T58" s="429"/>
      <c r="U58" s="429"/>
    </row>
    <row r="59" spans="1:21" ht="24" customHeight="1">
      <c r="A59" s="429"/>
      <c r="B59" s="429"/>
      <c r="C59" s="429"/>
      <c r="D59" s="429"/>
      <c r="E59" s="429"/>
      <c r="F59" s="429"/>
      <c r="G59" s="429"/>
      <c r="H59" s="429"/>
      <c r="I59" s="429"/>
      <c r="J59" s="429"/>
      <c r="K59" s="429"/>
      <c r="L59" s="429"/>
      <c r="M59" s="429"/>
      <c r="N59" s="429"/>
      <c r="O59" s="429"/>
      <c r="P59" s="429"/>
      <c r="Q59" s="429"/>
      <c r="R59" s="429"/>
      <c r="S59" s="429"/>
      <c r="T59" s="429"/>
      <c r="U59" s="429"/>
    </row>
    <row r="60" spans="1:21" ht="12.75" customHeight="1">
      <c r="A60" s="429"/>
      <c r="B60" s="429"/>
      <c r="C60" s="429"/>
      <c r="D60" s="429"/>
      <c r="E60" s="429"/>
      <c r="F60" s="429"/>
      <c r="G60" s="429"/>
      <c r="H60" s="429"/>
      <c r="I60" s="429"/>
      <c r="J60" s="429"/>
      <c r="K60" s="429"/>
      <c r="L60" s="429"/>
      <c r="M60" s="429"/>
      <c r="N60" s="429"/>
      <c r="O60" s="429"/>
      <c r="P60" s="429"/>
      <c r="Q60" s="429"/>
      <c r="R60" s="429"/>
      <c r="S60" s="429"/>
      <c r="T60" s="429"/>
      <c r="U60" s="429"/>
    </row>
    <row r="61" spans="1:21" ht="12.75" customHeight="1">
      <c r="A61" s="429"/>
      <c r="B61" s="429"/>
      <c r="C61" s="429"/>
      <c r="D61" s="429"/>
      <c r="E61" s="429"/>
      <c r="F61" s="429"/>
      <c r="G61" s="429"/>
      <c r="H61" s="429"/>
      <c r="I61" s="429"/>
      <c r="J61" s="429"/>
      <c r="K61" s="429"/>
      <c r="L61" s="429"/>
      <c r="M61" s="429"/>
      <c r="N61" s="429"/>
      <c r="O61" s="429"/>
      <c r="P61" s="429"/>
      <c r="Q61" s="429"/>
      <c r="R61" s="429"/>
      <c r="S61" s="429"/>
      <c r="T61" s="429"/>
      <c r="U61" s="429"/>
    </row>
    <row r="62" spans="1:21" ht="12.75" customHeight="1">
      <c r="A62" s="429"/>
      <c r="B62" s="429"/>
      <c r="C62" s="429"/>
      <c r="D62" s="429"/>
      <c r="E62" s="429"/>
      <c r="F62" s="429"/>
      <c r="G62" s="429"/>
      <c r="H62" s="429"/>
      <c r="I62" s="429"/>
      <c r="J62" s="429"/>
      <c r="K62" s="429"/>
      <c r="L62" s="429"/>
      <c r="M62" s="429"/>
      <c r="N62" s="429"/>
      <c r="O62" s="429"/>
      <c r="P62" s="429"/>
      <c r="Q62" s="429"/>
      <c r="R62" s="429"/>
      <c r="S62" s="429"/>
      <c r="T62" s="429"/>
      <c r="U62" s="429"/>
    </row>
    <row r="63" spans="1:21" ht="12.75" customHeight="1">
      <c r="A63" s="429"/>
      <c r="B63" s="429"/>
      <c r="C63" s="429"/>
      <c r="D63" s="429"/>
      <c r="E63" s="429"/>
      <c r="F63" s="429"/>
      <c r="G63" s="429"/>
      <c r="H63" s="429"/>
      <c r="I63" s="429"/>
      <c r="J63" s="429"/>
      <c r="K63" s="429"/>
      <c r="L63" s="429"/>
      <c r="M63" s="429"/>
      <c r="N63" s="429"/>
      <c r="O63" s="429"/>
      <c r="P63" s="429"/>
      <c r="Q63" s="429"/>
      <c r="R63" s="429"/>
      <c r="S63" s="429"/>
      <c r="T63" s="429"/>
      <c r="U63" s="429"/>
    </row>
    <row r="64" spans="1:21" ht="12.75" customHeight="1">
      <c r="A64" s="429"/>
      <c r="B64" s="429"/>
      <c r="C64" s="429"/>
      <c r="D64" s="429"/>
      <c r="E64" s="429"/>
      <c r="F64" s="429"/>
      <c r="G64" s="429"/>
      <c r="H64" s="429"/>
      <c r="I64" s="429"/>
      <c r="J64" s="429"/>
      <c r="K64" s="429"/>
      <c r="L64" s="429"/>
      <c r="M64" s="429"/>
      <c r="N64" s="429"/>
      <c r="O64" s="429"/>
      <c r="P64" s="429"/>
      <c r="Q64" s="429"/>
      <c r="R64" s="429"/>
      <c r="S64" s="429"/>
      <c r="T64" s="429"/>
      <c r="U64" s="429"/>
    </row>
    <row r="65" spans="1:21" ht="12.75" customHeight="1">
      <c r="A65" s="429"/>
      <c r="B65" s="429"/>
      <c r="C65" s="429"/>
      <c r="D65" s="429"/>
      <c r="E65" s="429"/>
      <c r="F65" s="429"/>
      <c r="G65" s="429"/>
      <c r="H65" s="429"/>
      <c r="I65" s="429"/>
      <c r="J65" s="429"/>
      <c r="K65" s="429"/>
      <c r="L65" s="429"/>
      <c r="M65" s="429"/>
      <c r="N65" s="429"/>
      <c r="O65" s="429"/>
      <c r="P65" s="429"/>
      <c r="Q65" s="429"/>
      <c r="R65" s="429"/>
      <c r="S65" s="429"/>
      <c r="T65" s="429"/>
      <c r="U65" s="429"/>
    </row>
    <row r="66" spans="1:21" ht="12.75" customHeight="1">
      <c r="A66" s="429"/>
      <c r="B66" s="429"/>
      <c r="C66" s="429"/>
      <c r="D66" s="429"/>
      <c r="E66" s="429"/>
      <c r="F66" s="429"/>
      <c r="G66" s="429"/>
      <c r="H66" s="429"/>
      <c r="I66" s="429"/>
      <c r="J66" s="429"/>
      <c r="K66" s="429"/>
      <c r="L66" s="429"/>
      <c r="M66" s="429"/>
      <c r="N66" s="429"/>
      <c r="O66" s="429"/>
      <c r="P66" s="429"/>
      <c r="Q66" s="429"/>
      <c r="R66" s="429"/>
      <c r="S66" s="429"/>
      <c r="T66" s="429"/>
      <c r="U66" s="429"/>
    </row>
    <row r="67" spans="1:21" ht="12.75" customHeight="1">
      <c r="A67" s="429"/>
      <c r="B67" s="429"/>
      <c r="C67" s="429"/>
      <c r="D67" s="429"/>
      <c r="E67" s="429"/>
      <c r="F67" s="429"/>
      <c r="G67" s="429"/>
      <c r="H67" s="429"/>
      <c r="I67" s="429"/>
      <c r="J67" s="429"/>
      <c r="K67" s="429"/>
      <c r="L67" s="429"/>
      <c r="M67" s="429"/>
      <c r="N67" s="429"/>
      <c r="O67" s="429"/>
      <c r="P67" s="429"/>
      <c r="Q67" s="429"/>
      <c r="R67" s="429"/>
      <c r="S67" s="429"/>
      <c r="T67" s="429"/>
      <c r="U67" s="429"/>
    </row>
    <row r="68" spans="1:21" ht="12.75" customHeight="1">
      <c r="A68" s="429"/>
      <c r="B68" s="429"/>
      <c r="C68" s="429"/>
      <c r="D68" s="429"/>
      <c r="E68" s="429"/>
      <c r="F68" s="429"/>
      <c r="G68" s="429"/>
      <c r="H68" s="429"/>
      <c r="I68" s="429"/>
      <c r="J68" s="429"/>
      <c r="K68" s="429"/>
      <c r="L68" s="429"/>
      <c r="M68" s="429"/>
      <c r="N68" s="429"/>
      <c r="O68" s="429"/>
      <c r="P68" s="429"/>
      <c r="Q68" s="429"/>
      <c r="R68" s="429"/>
      <c r="S68" s="429"/>
      <c r="T68" s="429"/>
      <c r="U68" s="429"/>
    </row>
    <row r="69" spans="1:21" ht="24" customHeight="1">
      <c r="A69" s="429"/>
      <c r="B69" s="429"/>
      <c r="C69" s="429"/>
      <c r="D69" s="429"/>
      <c r="E69" s="429"/>
      <c r="F69" s="429"/>
      <c r="G69" s="429"/>
      <c r="H69" s="429"/>
      <c r="I69" s="429"/>
      <c r="J69" s="429"/>
      <c r="K69" s="429"/>
      <c r="L69" s="429"/>
      <c r="M69" s="429"/>
      <c r="N69" s="429"/>
      <c r="O69" s="429"/>
      <c r="P69" s="429"/>
      <c r="Q69" s="429"/>
      <c r="R69" s="429"/>
      <c r="S69" s="429"/>
      <c r="T69" s="429"/>
      <c r="U69" s="429"/>
    </row>
    <row r="70" spans="1:21" ht="12.75" customHeight="1">
      <c r="A70" s="429"/>
      <c r="B70" s="429"/>
      <c r="C70" s="429"/>
      <c r="D70" s="429"/>
      <c r="E70" s="429"/>
      <c r="F70" s="429"/>
      <c r="G70" s="429"/>
      <c r="H70" s="429"/>
      <c r="I70" s="429"/>
      <c r="J70" s="429"/>
      <c r="K70" s="429"/>
      <c r="L70" s="429"/>
      <c r="M70" s="429"/>
      <c r="N70" s="429"/>
      <c r="O70" s="429"/>
      <c r="P70" s="429"/>
      <c r="Q70" s="429"/>
      <c r="R70" s="429"/>
      <c r="S70" s="429"/>
      <c r="T70" s="429"/>
      <c r="U70" s="429"/>
    </row>
    <row r="71" spans="1:21" ht="12.75" customHeight="1">
      <c r="A71" s="429"/>
      <c r="B71" s="429"/>
      <c r="C71" s="429"/>
      <c r="D71" s="429"/>
      <c r="E71" s="429"/>
      <c r="F71" s="429"/>
      <c r="G71" s="429"/>
      <c r="H71" s="429"/>
      <c r="I71" s="429"/>
      <c r="J71" s="429"/>
      <c r="K71" s="429"/>
      <c r="L71" s="429"/>
      <c r="M71" s="429"/>
      <c r="N71" s="429"/>
      <c r="O71" s="429"/>
      <c r="P71" s="429"/>
      <c r="Q71" s="429"/>
      <c r="R71" s="429"/>
      <c r="S71" s="429"/>
      <c r="T71" s="429"/>
      <c r="U71" s="429"/>
    </row>
    <row r="72" spans="1:21" ht="12.75" customHeight="1">
      <c r="A72" s="429"/>
      <c r="B72" s="429"/>
      <c r="C72" s="429"/>
      <c r="D72" s="429"/>
      <c r="E72" s="429"/>
      <c r="F72" s="429"/>
      <c r="G72" s="429"/>
      <c r="H72" s="429"/>
      <c r="I72" s="429"/>
      <c r="J72" s="429"/>
      <c r="K72" s="429"/>
      <c r="L72" s="429"/>
      <c r="M72" s="429"/>
      <c r="N72" s="429"/>
      <c r="O72" s="429"/>
      <c r="P72" s="429"/>
      <c r="Q72" s="429"/>
      <c r="R72" s="429"/>
      <c r="S72" s="429"/>
      <c r="T72" s="429"/>
      <c r="U72" s="429"/>
    </row>
    <row r="73" spans="1:21" ht="12.75" customHeight="1">
      <c r="A73" s="429"/>
      <c r="B73" s="429"/>
      <c r="C73" s="429"/>
      <c r="D73" s="429"/>
      <c r="E73" s="429"/>
      <c r="F73" s="429"/>
      <c r="G73" s="429"/>
      <c r="H73" s="429"/>
      <c r="I73" s="429"/>
      <c r="J73" s="429"/>
      <c r="K73" s="429"/>
      <c r="L73" s="429"/>
      <c r="M73" s="429"/>
      <c r="N73" s="429"/>
      <c r="O73" s="429"/>
      <c r="P73" s="429"/>
      <c r="Q73" s="429"/>
      <c r="R73" s="429"/>
      <c r="S73" s="429"/>
      <c r="T73" s="429"/>
      <c r="U73" s="429"/>
    </row>
    <row r="74" spans="1:21" ht="12.75" customHeight="1">
      <c r="A74" s="429"/>
      <c r="B74" s="429"/>
      <c r="C74" s="429"/>
      <c r="D74" s="429"/>
      <c r="E74" s="429"/>
      <c r="F74" s="429"/>
      <c r="G74" s="429"/>
      <c r="H74" s="429"/>
      <c r="I74" s="429"/>
      <c r="J74" s="429"/>
      <c r="K74" s="429"/>
      <c r="L74" s="429"/>
      <c r="M74" s="429"/>
      <c r="N74" s="429"/>
      <c r="O74" s="429"/>
      <c r="P74" s="429"/>
      <c r="Q74" s="429"/>
      <c r="R74" s="429"/>
      <c r="S74" s="429"/>
      <c r="T74" s="429"/>
      <c r="U74" s="429"/>
    </row>
    <row r="75" spans="1:21" ht="12.75" customHeight="1">
      <c r="A75" s="429"/>
      <c r="B75" s="429"/>
      <c r="C75" s="429"/>
      <c r="D75" s="429"/>
      <c r="E75" s="429"/>
      <c r="F75" s="429"/>
      <c r="G75" s="429"/>
      <c r="H75" s="429"/>
      <c r="I75" s="429"/>
      <c r="J75" s="429"/>
      <c r="K75" s="429"/>
      <c r="L75" s="429"/>
      <c r="M75" s="429"/>
      <c r="N75" s="429"/>
      <c r="O75" s="429"/>
      <c r="P75" s="429"/>
      <c r="Q75" s="429"/>
      <c r="R75" s="429"/>
      <c r="S75" s="429"/>
      <c r="T75" s="429"/>
      <c r="U75" s="429"/>
    </row>
    <row r="76" spans="1:21" ht="24" customHeight="1">
      <c r="A76" s="429"/>
      <c r="B76" s="429"/>
      <c r="C76" s="429"/>
      <c r="D76" s="429"/>
      <c r="E76" s="429"/>
      <c r="F76" s="429"/>
      <c r="G76" s="429"/>
      <c r="H76" s="429"/>
      <c r="I76" s="429"/>
      <c r="J76" s="429"/>
      <c r="K76" s="429"/>
      <c r="L76" s="429"/>
      <c r="M76" s="429"/>
      <c r="N76" s="429"/>
      <c r="O76" s="429"/>
      <c r="P76" s="429"/>
      <c r="Q76" s="429"/>
      <c r="R76" s="429"/>
      <c r="S76" s="429"/>
      <c r="T76" s="429"/>
      <c r="U76" s="429"/>
    </row>
    <row r="77" spans="1:21" ht="12.75" customHeight="1">
      <c r="A77" s="429"/>
      <c r="B77" s="429"/>
      <c r="C77" s="429"/>
      <c r="D77" s="429"/>
      <c r="E77" s="429"/>
      <c r="F77" s="429"/>
      <c r="G77" s="429"/>
      <c r="H77" s="429"/>
      <c r="I77" s="429"/>
      <c r="J77" s="429"/>
      <c r="K77" s="429"/>
      <c r="L77" s="429"/>
      <c r="M77" s="429"/>
      <c r="N77" s="429"/>
      <c r="O77" s="429"/>
      <c r="P77" s="429"/>
      <c r="Q77" s="429"/>
      <c r="R77" s="429"/>
      <c r="S77" s="429"/>
      <c r="T77" s="429"/>
      <c r="U77" s="429"/>
    </row>
    <row r="78" spans="1:21" ht="12.75" customHeight="1">
      <c r="A78" s="429"/>
      <c r="B78" s="429"/>
      <c r="C78" s="429"/>
      <c r="D78" s="429"/>
      <c r="E78" s="429"/>
      <c r="F78" s="429"/>
      <c r="G78" s="429"/>
      <c r="H78" s="429"/>
      <c r="I78" s="429"/>
      <c r="J78" s="429"/>
      <c r="K78" s="429"/>
      <c r="L78" s="429"/>
      <c r="M78" s="429"/>
      <c r="N78" s="429"/>
      <c r="O78" s="429"/>
      <c r="P78" s="429"/>
      <c r="Q78" s="429"/>
      <c r="R78" s="429"/>
      <c r="S78" s="429"/>
      <c r="T78" s="429"/>
      <c r="U78" s="429"/>
    </row>
    <row r="79" spans="1:21" ht="12.75" customHeight="1">
      <c r="A79" s="429"/>
      <c r="B79" s="429"/>
      <c r="C79" s="429"/>
      <c r="D79" s="429"/>
      <c r="E79" s="429"/>
      <c r="F79" s="429"/>
      <c r="G79" s="429"/>
      <c r="H79" s="429"/>
      <c r="I79" s="429"/>
      <c r="J79" s="429"/>
      <c r="K79" s="429"/>
      <c r="L79" s="429"/>
      <c r="M79" s="429"/>
      <c r="N79" s="429"/>
      <c r="O79" s="429"/>
      <c r="P79" s="429"/>
      <c r="Q79" s="429"/>
      <c r="R79" s="429"/>
      <c r="S79" s="429"/>
      <c r="T79" s="429"/>
      <c r="U79" s="429"/>
    </row>
    <row r="80" spans="1:21" ht="12.75" customHeight="1">
      <c r="A80" s="429"/>
      <c r="B80" s="429"/>
      <c r="C80" s="429"/>
      <c r="D80" s="429"/>
      <c r="E80" s="429"/>
      <c r="F80" s="429"/>
      <c r="G80" s="429"/>
      <c r="H80" s="429"/>
      <c r="I80" s="429"/>
      <c r="J80" s="429"/>
      <c r="K80" s="429"/>
      <c r="L80" s="429"/>
      <c r="M80" s="429"/>
      <c r="N80" s="429"/>
      <c r="O80" s="429"/>
      <c r="P80" s="429"/>
      <c r="Q80" s="429"/>
      <c r="R80" s="429"/>
      <c r="S80" s="429"/>
      <c r="T80" s="429"/>
      <c r="U80" s="429"/>
    </row>
    <row r="81" spans="1:21" ht="12.75" customHeight="1">
      <c r="A81" s="429"/>
      <c r="B81" s="429"/>
      <c r="C81" s="429"/>
      <c r="D81" s="429"/>
      <c r="E81" s="429"/>
      <c r="F81" s="429"/>
      <c r="G81" s="429"/>
      <c r="H81" s="429"/>
      <c r="I81" s="429"/>
      <c r="J81" s="429"/>
      <c r="K81" s="429"/>
      <c r="L81" s="429"/>
      <c r="M81" s="429"/>
      <c r="N81" s="429"/>
      <c r="O81" s="429"/>
      <c r="P81" s="429"/>
      <c r="Q81" s="429"/>
      <c r="R81" s="429"/>
      <c r="S81" s="429"/>
      <c r="T81" s="429"/>
      <c r="U81" s="429"/>
    </row>
    <row r="82" spans="1:21" ht="12.75" customHeight="1">
      <c r="A82" s="429"/>
      <c r="B82" s="429"/>
      <c r="C82" s="429"/>
      <c r="D82" s="429"/>
      <c r="E82" s="429"/>
      <c r="F82" s="429"/>
      <c r="G82" s="429"/>
      <c r="H82" s="429"/>
      <c r="I82" s="429"/>
      <c r="J82" s="429"/>
      <c r="K82" s="429"/>
      <c r="L82" s="429"/>
      <c r="M82" s="429"/>
      <c r="N82" s="429"/>
      <c r="O82" s="429"/>
      <c r="P82" s="429"/>
      <c r="Q82" s="429"/>
      <c r="R82" s="429"/>
      <c r="S82" s="429"/>
      <c r="T82" s="429"/>
      <c r="U82" s="429"/>
    </row>
    <row r="83" spans="1:21" ht="12.75" customHeight="1">
      <c r="A83" s="429"/>
      <c r="B83" s="429"/>
      <c r="C83" s="429"/>
      <c r="D83" s="429"/>
      <c r="E83" s="429"/>
      <c r="F83" s="429"/>
      <c r="G83" s="429"/>
      <c r="H83" s="429"/>
      <c r="I83" s="429"/>
      <c r="J83" s="429"/>
      <c r="K83" s="429"/>
      <c r="L83" s="429"/>
      <c r="M83" s="429"/>
      <c r="N83" s="429"/>
      <c r="O83" s="429"/>
      <c r="P83" s="429"/>
      <c r="Q83" s="429"/>
      <c r="R83" s="429"/>
      <c r="S83" s="429"/>
      <c r="T83" s="429"/>
      <c r="U83" s="429"/>
    </row>
    <row r="84" spans="1:21" ht="12.75" customHeight="1">
      <c r="A84" s="429"/>
      <c r="B84" s="429"/>
      <c r="C84" s="429"/>
      <c r="D84" s="429"/>
      <c r="E84" s="429"/>
      <c r="F84" s="429"/>
      <c r="G84" s="429"/>
      <c r="H84" s="429"/>
      <c r="I84" s="429"/>
      <c r="J84" s="429"/>
      <c r="K84" s="429"/>
      <c r="L84" s="429"/>
      <c r="M84" s="429"/>
      <c r="N84" s="429"/>
      <c r="O84" s="429"/>
      <c r="P84" s="429"/>
      <c r="Q84" s="429"/>
      <c r="R84" s="429"/>
      <c r="S84" s="429"/>
      <c r="T84" s="429"/>
      <c r="U84" s="429"/>
    </row>
    <row r="85" spans="1:21" ht="12.75" customHeight="1">
      <c r="A85" s="429"/>
      <c r="B85" s="429"/>
      <c r="C85" s="429"/>
      <c r="D85" s="429"/>
      <c r="E85" s="429"/>
      <c r="F85" s="429"/>
      <c r="G85" s="429"/>
      <c r="H85" s="429"/>
      <c r="I85" s="429"/>
      <c r="J85" s="429"/>
      <c r="K85" s="429"/>
      <c r="L85" s="429"/>
      <c r="M85" s="429"/>
      <c r="N85" s="429"/>
      <c r="O85" s="429"/>
      <c r="P85" s="429"/>
      <c r="Q85" s="429"/>
      <c r="R85" s="429"/>
      <c r="S85" s="429"/>
      <c r="T85" s="429"/>
      <c r="U85" s="429"/>
    </row>
    <row r="86" spans="1:21" ht="12.75" customHeight="1">
      <c r="A86" s="429"/>
      <c r="B86" s="429"/>
      <c r="C86" s="429"/>
      <c r="D86" s="429"/>
      <c r="E86" s="429"/>
      <c r="F86" s="429"/>
      <c r="G86" s="429"/>
      <c r="H86" s="429"/>
      <c r="I86" s="429"/>
      <c r="J86" s="429"/>
      <c r="K86" s="429"/>
      <c r="L86" s="429"/>
      <c r="M86" s="429"/>
      <c r="N86" s="429"/>
      <c r="O86" s="429"/>
      <c r="P86" s="429"/>
      <c r="Q86" s="429"/>
      <c r="R86" s="429"/>
      <c r="S86" s="429"/>
      <c r="T86" s="429"/>
      <c r="U86" s="429"/>
    </row>
    <row r="87" spans="1:21" ht="12.75" customHeight="1">
      <c r="A87" s="429"/>
      <c r="B87" s="429"/>
      <c r="C87" s="429"/>
      <c r="D87" s="429"/>
      <c r="E87" s="429"/>
      <c r="F87" s="429"/>
      <c r="G87" s="429"/>
      <c r="H87" s="429"/>
      <c r="I87" s="429"/>
      <c r="J87" s="429"/>
      <c r="K87" s="429"/>
      <c r="L87" s="429"/>
      <c r="M87" s="429"/>
      <c r="N87" s="429"/>
      <c r="O87" s="429"/>
      <c r="P87" s="429"/>
      <c r="Q87" s="429"/>
      <c r="R87" s="429"/>
      <c r="S87" s="429"/>
      <c r="T87" s="429"/>
      <c r="U87" s="429"/>
    </row>
    <row r="88" spans="1:21" ht="12.75" customHeight="1">
      <c r="A88" s="429"/>
      <c r="B88" s="429"/>
      <c r="C88" s="429"/>
      <c r="D88" s="429"/>
      <c r="E88" s="429"/>
      <c r="F88" s="429"/>
      <c r="G88" s="429"/>
      <c r="H88" s="429"/>
      <c r="I88" s="429"/>
      <c r="J88" s="429"/>
      <c r="K88" s="429"/>
      <c r="L88" s="429"/>
      <c r="M88" s="429"/>
      <c r="N88" s="429"/>
      <c r="O88" s="429"/>
      <c r="P88" s="429"/>
      <c r="Q88" s="429"/>
      <c r="R88" s="429"/>
      <c r="S88" s="429"/>
      <c r="T88" s="429"/>
      <c r="U88" s="429"/>
    </row>
    <row r="89" spans="1:21" ht="12.75" customHeight="1">
      <c r="A89" s="429"/>
      <c r="B89" s="429"/>
      <c r="C89" s="429"/>
      <c r="D89" s="429"/>
      <c r="E89" s="429"/>
      <c r="F89" s="429"/>
      <c r="G89" s="429"/>
      <c r="H89" s="429"/>
      <c r="I89" s="429"/>
      <c r="J89" s="429"/>
      <c r="K89" s="429"/>
      <c r="L89" s="429"/>
      <c r="M89" s="429"/>
      <c r="N89" s="429"/>
      <c r="O89" s="429"/>
      <c r="P89" s="429"/>
      <c r="Q89" s="429"/>
      <c r="R89" s="429"/>
      <c r="S89" s="429"/>
      <c r="T89" s="429"/>
      <c r="U89" s="429"/>
    </row>
    <row r="90" spans="1:21" ht="12.75" customHeight="1">
      <c r="A90" s="429"/>
      <c r="B90" s="429"/>
      <c r="C90" s="429"/>
      <c r="D90" s="429"/>
      <c r="E90" s="429"/>
      <c r="F90" s="429"/>
      <c r="G90" s="429"/>
      <c r="H90" s="429"/>
      <c r="I90" s="429"/>
      <c r="J90" s="429"/>
      <c r="K90" s="429"/>
      <c r="L90" s="429"/>
      <c r="M90" s="429"/>
      <c r="N90" s="429"/>
      <c r="O90" s="429"/>
      <c r="P90" s="429"/>
      <c r="Q90" s="429"/>
      <c r="R90" s="429"/>
      <c r="S90" s="429"/>
      <c r="T90" s="429"/>
      <c r="U90" s="429"/>
    </row>
    <row r="91" spans="1:21" ht="12.75" customHeight="1">
      <c r="A91" s="429"/>
      <c r="B91" s="429"/>
      <c r="C91" s="429"/>
      <c r="D91" s="429"/>
      <c r="E91" s="429"/>
      <c r="F91" s="429"/>
      <c r="G91" s="429"/>
      <c r="H91" s="429"/>
      <c r="I91" s="429"/>
      <c r="J91" s="429"/>
      <c r="K91" s="429"/>
      <c r="L91" s="429"/>
      <c r="M91" s="429"/>
      <c r="N91" s="429"/>
      <c r="O91" s="429"/>
      <c r="P91" s="429"/>
      <c r="Q91" s="429"/>
      <c r="R91" s="429"/>
      <c r="S91" s="429"/>
      <c r="T91" s="429"/>
      <c r="U91" s="429"/>
    </row>
    <row r="92" spans="1:21" ht="12.75" customHeight="1">
      <c r="A92" s="429"/>
      <c r="B92" s="429"/>
      <c r="C92" s="429"/>
      <c r="D92" s="429"/>
      <c r="E92" s="429"/>
      <c r="F92" s="429"/>
      <c r="G92" s="429"/>
      <c r="H92" s="429"/>
      <c r="I92" s="429"/>
      <c r="J92" s="429"/>
      <c r="K92" s="429"/>
      <c r="L92" s="429"/>
      <c r="M92" s="429"/>
      <c r="N92" s="429"/>
      <c r="O92" s="429"/>
      <c r="P92" s="429"/>
      <c r="Q92" s="429"/>
      <c r="R92" s="429"/>
      <c r="S92" s="429"/>
      <c r="T92" s="429"/>
      <c r="U92" s="429"/>
    </row>
    <row r="93" spans="1:21" ht="12.75" customHeight="1">
      <c r="A93" s="429"/>
      <c r="B93" s="429"/>
      <c r="C93" s="429"/>
      <c r="D93" s="429"/>
      <c r="E93" s="429"/>
      <c r="F93" s="429"/>
      <c r="G93" s="429"/>
      <c r="H93" s="429"/>
      <c r="I93" s="429"/>
      <c r="J93" s="429"/>
      <c r="K93" s="429"/>
      <c r="L93" s="429"/>
      <c r="M93" s="429"/>
      <c r="N93" s="429"/>
      <c r="O93" s="429"/>
      <c r="P93" s="429"/>
      <c r="Q93" s="429"/>
      <c r="R93" s="429"/>
      <c r="S93" s="429"/>
      <c r="T93" s="429"/>
      <c r="U93" s="429"/>
    </row>
    <row r="94" spans="1:21" ht="12.75" customHeight="1">
      <c r="A94" s="429"/>
      <c r="B94" s="429"/>
      <c r="C94" s="429"/>
      <c r="D94" s="429"/>
      <c r="E94" s="429"/>
      <c r="F94" s="429"/>
      <c r="G94" s="429"/>
      <c r="H94" s="429"/>
      <c r="I94" s="429"/>
      <c r="J94" s="429"/>
      <c r="K94" s="429"/>
      <c r="L94" s="429"/>
      <c r="M94" s="429"/>
      <c r="N94" s="429"/>
      <c r="O94" s="429"/>
      <c r="P94" s="429"/>
      <c r="Q94" s="429"/>
      <c r="R94" s="429"/>
      <c r="S94" s="429"/>
      <c r="T94" s="429"/>
      <c r="U94" s="429"/>
    </row>
    <row r="95" spans="1:21">
      <c r="A95" s="429"/>
      <c r="B95" s="429"/>
      <c r="C95" s="429"/>
      <c r="D95" s="429"/>
      <c r="E95" s="429"/>
      <c r="F95" s="429"/>
      <c r="G95" s="429"/>
      <c r="H95" s="429"/>
      <c r="I95" s="429"/>
      <c r="J95" s="429"/>
      <c r="K95" s="429"/>
      <c r="L95" s="429"/>
      <c r="M95" s="429"/>
      <c r="N95" s="429"/>
      <c r="O95" s="429"/>
      <c r="P95" s="429"/>
      <c r="Q95" s="429"/>
      <c r="R95" s="429"/>
      <c r="S95" s="429"/>
      <c r="T95" s="429"/>
      <c r="U95" s="429"/>
    </row>
    <row r="96" spans="1:21">
      <c r="A96" s="429"/>
      <c r="B96" s="429"/>
      <c r="C96" s="429"/>
      <c r="D96" s="429"/>
      <c r="E96" s="429"/>
      <c r="F96" s="429"/>
      <c r="G96" s="429"/>
      <c r="H96" s="429"/>
      <c r="I96" s="429"/>
      <c r="J96" s="429"/>
      <c r="K96" s="429"/>
      <c r="L96" s="429"/>
      <c r="M96" s="429"/>
      <c r="N96" s="429"/>
      <c r="O96" s="429"/>
      <c r="P96" s="429"/>
      <c r="Q96" s="429"/>
      <c r="R96" s="429"/>
      <c r="S96" s="429"/>
      <c r="T96" s="429"/>
      <c r="U96" s="429"/>
    </row>
    <row r="97" spans="1:21">
      <c r="A97" s="429"/>
      <c r="B97" s="429"/>
      <c r="C97" s="429"/>
      <c r="D97" s="429"/>
      <c r="E97" s="429"/>
      <c r="F97" s="429"/>
      <c r="G97" s="429"/>
      <c r="H97" s="429"/>
      <c r="I97" s="429"/>
      <c r="J97" s="429"/>
      <c r="K97" s="429"/>
      <c r="L97" s="429"/>
      <c r="M97" s="429"/>
      <c r="N97" s="429"/>
      <c r="O97" s="429"/>
      <c r="P97" s="429"/>
      <c r="Q97" s="429"/>
      <c r="R97" s="429"/>
      <c r="S97" s="429"/>
      <c r="T97" s="429"/>
      <c r="U97" s="429"/>
    </row>
    <row r="98" spans="1:21">
      <c r="A98" s="429"/>
      <c r="B98" s="429"/>
      <c r="C98" s="429"/>
      <c r="D98" s="429"/>
      <c r="E98" s="429"/>
      <c r="F98" s="429"/>
      <c r="G98" s="429"/>
      <c r="H98" s="429"/>
      <c r="I98" s="429"/>
      <c r="J98" s="429"/>
      <c r="K98" s="429"/>
      <c r="L98" s="429"/>
      <c r="M98" s="429"/>
      <c r="N98" s="429"/>
      <c r="O98" s="429"/>
      <c r="P98" s="429"/>
      <c r="Q98" s="429"/>
      <c r="R98" s="429"/>
      <c r="S98" s="429"/>
      <c r="T98" s="429"/>
      <c r="U98" s="429"/>
    </row>
    <row r="99" spans="1:21">
      <c r="A99" s="429"/>
      <c r="B99" s="429"/>
      <c r="C99" s="429"/>
      <c r="D99" s="429"/>
      <c r="E99" s="429"/>
      <c r="F99" s="429"/>
      <c r="G99" s="429"/>
      <c r="H99" s="429"/>
      <c r="I99" s="429"/>
      <c r="J99" s="429"/>
      <c r="K99" s="429"/>
      <c r="L99" s="429"/>
      <c r="M99" s="429"/>
      <c r="N99" s="429"/>
      <c r="O99" s="429"/>
      <c r="P99" s="429"/>
      <c r="Q99" s="429"/>
      <c r="R99" s="429"/>
      <c r="S99" s="429"/>
      <c r="T99" s="429"/>
      <c r="U99" s="429"/>
    </row>
    <row r="100" spans="1:21">
      <c r="A100" s="429"/>
      <c r="B100" s="429"/>
      <c r="C100" s="429"/>
      <c r="D100" s="429"/>
      <c r="E100" s="429"/>
      <c r="F100" s="429"/>
      <c r="G100" s="429"/>
      <c r="H100" s="429"/>
      <c r="I100" s="429"/>
      <c r="J100" s="429"/>
      <c r="K100" s="429"/>
      <c r="L100" s="429"/>
      <c r="M100" s="429"/>
      <c r="N100" s="429"/>
      <c r="O100" s="429"/>
      <c r="P100" s="429"/>
      <c r="Q100" s="429"/>
      <c r="R100" s="429"/>
      <c r="S100" s="429"/>
      <c r="T100" s="429"/>
      <c r="U100" s="429"/>
    </row>
  </sheetData>
  <mergeCells count="22">
    <mergeCell ref="A34:B34"/>
    <mergeCell ref="H27:J27"/>
    <mergeCell ref="N11:P11"/>
    <mergeCell ref="K11:M11"/>
    <mergeCell ref="A17:B17"/>
    <mergeCell ref="B11:B12"/>
    <mergeCell ref="A11:A12"/>
    <mergeCell ref="H11:J11"/>
    <mergeCell ref="A19:B19"/>
    <mergeCell ref="A27:B27"/>
    <mergeCell ref="K19:M19"/>
    <mergeCell ref="H19:J19"/>
    <mergeCell ref="C11:F11"/>
    <mergeCell ref="C19:F19"/>
    <mergeCell ref="C27:F27"/>
    <mergeCell ref="C34:F34"/>
    <mergeCell ref="N19:P19"/>
    <mergeCell ref="N27:P27"/>
    <mergeCell ref="N34:P34"/>
    <mergeCell ref="K27:M27"/>
    <mergeCell ref="H34:I34"/>
    <mergeCell ref="K34:M34"/>
  </mergeCells>
  <phoneticPr fontId="2" type="noConversion"/>
  <printOptions horizontalCentered="1"/>
  <pageMargins left="0.70866141732283472" right="0.70866141732283472" top="0.74803149606299213" bottom="0.74803149606299213" header="0.31496062992125984" footer="0.31496062992125984"/>
  <pageSetup paperSize="9" scale="50" fitToHeight="0" orientation="landscape" verticalDpi="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28</vt:i4>
      </vt:variant>
      <vt:variant>
        <vt:lpstr>命名范围</vt:lpstr>
      </vt:variant>
      <vt:variant>
        <vt:i4>7</vt:i4>
      </vt:variant>
    </vt:vector>
  </HeadingPairs>
  <TitlesOfParts>
    <vt:vector size="35" baseType="lpstr">
      <vt:lpstr>评估结果汇总表</vt:lpstr>
      <vt:lpstr>评估结果</vt:lpstr>
      <vt:lpstr>评估结果-PB</vt:lpstr>
      <vt:lpstr>1-交易案例比较法</vt:lpstr>
      <vt:lpstr>交易案例比较法测算表</vt:lpstr>
      <vt:lpstr>估算表</vt:lpstr>
      <vt:lpstr>指标参数全表</vt:lpstr>
      <vt:lpstr>评估结果-EV</vt:lpstr>
      <vt:lpstr>2-交易案例比较法</vt:lpstr>
      <vt:lpstr>非经营性资产</vt:lpstr>
      <vt:lpstr>评价指标及计分表</vt:lpstr>
      <vt:lpstr>桂林银行</vt:lpstr>
      <vt:lpstr>标的公司IS</vt:lpstr>
      <vt:lpstr>母公司资产负债表</vt:lpstr>
      <vt:lpstr>母公司利润表</vt:lpstr>
      <vt:lpstr>东航BS</vt:lpstr>
      <vt:lpstr>东航IS</vt:lpstr>
      <vt:lpstr>中航BS</vt:lpstr>
      <vt:lpstr>中航IS</vt:lpstr>
      <vt:lpstr>山石网科BS</vt:lpstr>
      <vt:lpstr>山石网科IS</vt:lpstr>
      <vt:lpstr>绿盟科技BS</vt:lpstr>
      <vt:lpstr>绿盟科技IS</vt:lpstr>
      <vt:lpstr>启明星辰BS</vt:lpstr>
      <vt:lpstr>流动性折扣</vt:lpstr>
      <vt:lpstr>利润表、资产负债表、现金流量表-备用表</vt:lpstr>
      <vt:lpstr>可比案例总市值</vt:lpstr>
      <vt:lpstr>企业规模指标</vt:lpstr>
      <vt:lpstr>'2-交易案例比较法'!Print_Area</vt:lpstr>
      <vt:lpstr>标的公司IS!Print_Area</vt:lpstr>
      <vt:lpstr>桂林银行!Print_Area</vt:lpstr>
      <vt:lpstr>'利润表、资产负债表、现金流量表-备用表'!Print_Area</vt:lpstr>
      <vt:lpstr>'评估结果-PB'!Print_Area</vt:lpstr>
      <vt:lpstr>评估结果汇总表!Print_Area</vt:lpstr>
      <vt:lpstr>评价指标及计分表!Print_Area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2024-08-15T07:20:06Z</dcterms:modified>
</cp:coreProperties>
</file>